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d.docs.live.net/8e3d2f50abea0874/Escritorio/"/>
    </mc:Choice>
  </mc:AlternateContent>
  <xr:revisionPtr revIDLastSave="417" documentId="13_ncr:20001_{391D7220-9146-4D7E-B2A2-EE61A03DAB01}" xr6:coauthVersionLast="47" xr6:coauthVersionMax="47" xr10:uidLastSave="{26C018EE-CF88-42DC-ADBD-0E02F783DDDE}"/>
  <bookViews>
    <workbookView xWindow="-120" yWindow="-120" windowWidth="29040" windowHeight="15840" tabRatio="747" activeTab="4" xr2:uid="{775ACC85-B699-49A5-BC50-C3404D422151}"/>
  </bookViews>
  <sheets>
    <sheet name="Stocks Valuation" sheetId="3" r:id="rId1"/>
    <sheet name="FFA &amp; Spot Rates" sheetId="1" r:id="rId2"/>
    <sheet name="Vessel Valuations" sheetId="2" r:id="rId3"/>
    <sheet name="Premiums" sheetId="10" r:id="rId4"/>
    <sheet name="Hafnia" sheetId="11" r:id="rId5"/>
    <sheet name="International Seaways" sheetId="5" r:id="rId6"/>
    <sheet name="Okeanis" sheetId="4" r:id="rId7"/>
    <sheet name="D'Amico" sheetId="6" r:id="rId8"/>
    <sheet name="Eurody" sheetId="8" r:id="rId9"/>
    <sheet name="2020Bulkers" sheetId="7" r:id="rId10"/>
    <sheet name="Golden Ocean" sheetId="9" r:id="rId11"/>
  </sheets>
  <definedNames>
    <definedName name="_xlnm.Print_Area" localSheetId="1">'FFA &amp; Spot Rates'!$C$3:$T$43</definedName>
    <definedName name="_xlnm.Print_Area" localSheetId="0">'Stocks Valuation'!$C$3:$R$33</definedName>
    <definedName name="_xlnm.Print_Area" localSheetId="2">'Vessel Valuations'!$C$2:$Q$49</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V134" i="11" l="1"/>
  <c r="V67" i="11"/>
  <c r="V111" i="11" s="1"/>
  <c r="V131" i="11" s="1"/>
  <c r="V88" i="11"/>
  <c r="P160" i="11"/>
  <c r="H160" i="11"/>
  <c r="V10" i="11"/>
  <c r="W10" i="11" s="1"/>
  <c r="X10" i="11" s="1"/>
  <c r="V11" i="11"/>
  <c r="W11" i="11" s="1"/>
  <c r="X11" i="11" s="1"/>
  <c r="U13" i="11"/>
  <c r="G15" i="10"/>
  <c r="V137" i="11"/>
  <c r="G18" i="10"/>
  <c r="G19" i="10"/>
  <c r="G380" i="11"/>
  <c r="K28" i="3"/>
  <c r="D384" i="11" a="1"/>
  <c r="D384" i="11" s="1"/>
  <c r="F385" i="11" s="1"/>
  <c r="E23" i="1"/>
  <c r="E25" i="1"/>
  <c r="E26" i="1"/>
  <c r="E28" i="1"/>
  <c r="E29" i="1"/>
  <c r="E31" i="1"/>
  <c r="E32" i="1"/>
  <c r="E34" i="1"/>
  <c r="E35" i="1"/>
  <c r="E37" i="1"/>
  <c r="E38" i="1"/>
  <c r="E40" i="1"/>
  <c r="E41" i="1"/>
  <c r="E43" i="1"/>
  <c r="J23" i="1"/>
  <c r="K23" i="1"/>
  <c r="L23" i="1"/>
  <c r="M23" i="1"/>
  <c r="J25" i="1"/>
  <c r="K25" i="1"/>
  <c r="L25" i="1"/>
  <c r="M25" i="1"/>
  <c r="J26" i="1"/>
  <c r="K26" i="1"/>
  <c r="L26" i="1"/>
  <c r="M26" i="1"/>
  <c r="J28" i="1"/>
  <c r="K28" i="1"/>
  <c r="L28" i="1"/>
  <c r="M28" i="1"/>
  <c r="J29" i="1"/>
  <c r="K29" i="1"/>
  <c r="L29" i="1"/>
  <c r="M29" i="1"/>
  <c r="J31" i="1"/>
  <c r="K31" i="1"/>
  <c r="L31" i="1"/>
  <c r="M31" i="1"/>
  <c r="J33" i="1"/>
  <c r="J32" i="1" s="1"/>
  <c r="K33" i="1"/>
  <c r="K32" i="1" s="1"/>
  <c r="L33" i="1"/>
  <c r="L32" i="1" s="1"/>
  <c r="M33" i="1"/>
  <c r="M34" i="1" s="1"/>
  <c r="L34" i="1"/>
  <c r="J36" i="1"/>
  <c r="J35" i="1" s="1"/>
  <c r="K36" i="1"/>
  <c r="K35" i="1" s="1"/>
  <c r="L36" i="1"/>
  <c r="L35" i="1" s="1"/>
  <c r="M36" i="1"/>
  <c r="M37" i="1" s="1"/>
  <c r="J38" i="1"/>
  <c r="K38" i="1"/>
  <c r="L38" i="1"/>
  <c r="M38" i="1"/>
  <c r="J40" i="1"/>
  <c r="K40" i="1"/>
  <c r="L40" i="1"/>
  <c r="M40" i="1"/>
  <c r="L41" i="1"/>
  <c r="J42" i="1"/>
  <c r="J41" i="1" s="1"/>
  <c r="K42" i="1"/>
  <c r="K41" i="1" s="1"/>
  <c r="L42" i="1"/>
  <c r="L43" i="1" s="1"/>
  <c r="M42" i="1"/>
  <c r="M41" i="1" s="1"/>
  <c r="I28" i="3"/>
  <c r="H28" i="3" a="1"/>
  <c r="H28" i="3" s="1"/>
  <c r="E28" i="3" a="1"/>
  <c r="E28" i="3"/>
  <c r="F28" i="3" a="1"/>
  <c r="F28" i="3"/>
  <c r="G28" i="3" a="1"/>
  <c r="G28" i="3" s="1"/>
  <c r="F27" i="3" a="1"/>
  <c r="F27" i="3" s="1"/>
  <c r="G27" i="3" a="1"/>
  <c r="G27" i="3" s="1"/>
  <c r="H27" i="3" a="1"/>
  <c r="H27" i="3" s="1"/>
  <c r="I27" i="3" s="1"/>
  <c r="D28" i="3" a="1"/>
  <c r="D28" i="3" s="1"/>
  <c r="D27" i="3" a="1"/>
  <c r="D27" i="3" s="1"/>
  <c r="U12" i="11"/>
  <c r="Z12" i="11"/>
  <c r="AA12" i="11"/>
  <c r="AB12" i="11"/>
  <c r="AC12" i="11"/>
  <c r="T12" i="11"/>
  <c r="T13" i="11"/>
  <c r="O12" i="11"/>
  <c r="Y8" i="11"/>
  <c r="Y9" i="11"/>
  <c r="Y7" i="11"/>
  <c r="F376" i="11"/>
  <c r="Y16" i="11"/>
  <c r="O16" i="11"/>
  <c r="Z13" i="11"/>
  <c r="Z20" i="11" s="1"/>
  <c r="AA13" i="11"/>
  <c r="AA20" i="11" s="1"/>
  <c r="AB13" i="11"/>
  <c r="AB20" i="11" s="1"/>
  <c r="AC13" i="11"/>
  <c r="AC20" i="11" s="1"/>
  <c r="L160" i="11"/>
  <c r="L161" i="11"/>
  <c r="U141" i="11"/>
  <c r="U146" i="11"/>
  <c r="U145" i="11"/>
  <c r="U144" i="11"/>
  <c r="U147" i="11"/>
  <c r="AD63" i="11"/>
  <c r="M32" i="1" l="1"/>
  <c r="K34" i="1"/>
  <c r="J43" i="1"/>
  <c r="L37" i="1"/>
  <c r="M35" i="1"/>
  <c r="K37" i="1"/>
  <c r="M43" i="1"/>
  <c r="K43" i="1"/>
  <c r="J37" i="1"/>
  <c r="J34" i="1"/>
  <c r="AD13" i="11"/>
  <c r="V34" i="11"/>
  <c r="Y11" i="11"/>
  <c r="H41" i="1"/>
  <c r="G41" i="1"/>
  <c r="F41" i="1"/>
  <c r="R38" i="1"/>
  <c r="Q38" i="1"/>
  <c r="P38" i="1"/>
  <c r="O38" i="1"/>
  <c r="H38" i="1"/>
  <c r="G38" i="1"/>
  <c r="F38" i="1"/>
  <c r="H35" i="1"/>
  <c r="G35" i="1"/>
  <c r="F35" i="1"/>
  <c r="P32" i="1"/>
  <c r="H32" i="1"/>
  <c r="G32" i="1"/>
  <c r="F32" i="1"/>
  <c r="F34" i="1"/>
  <c r="G34" i="1"/>
  <c r="H34" i="1"/>
  <c r="F37" i="1"/>
  <c r="G37" i="1"/>
  <c r="H37" i="1"/>
  <c r="F40" i="1"/>
  <c r="G40" i="1"/>
  <c r="H40" i="1"/>
  <c r="O40" i="1"/>
  <c r="P40" i="1"/>
  <c r="Q40" i="1"/>
  <c r="R40" i="1"/>
  <c r="F43" i="1"/>
  <c r="G43" i="1"/>
  <c r="H43" i="1"/>
  <c r="U64" i="4"/>
  <c r="G16" i="10"/>
  <c r="W261" i="5" s="1"/>
  <c r="O13" i="10"/>
  <c r="O18" i="10" s="1"/>
  <c r="O12" i="10"/>
  <c r="F370" i="11"/>
  <c r="W88" i="11"/>
  <c r="X88" i="11" s="1"/>
  <c r="P132" i="11"/>
  <c r="Q132" i="11"/>
  <c r="R132" i="11"/>
  <c r="S132" i="11"/>
  <c r="T132" i="11"/>
  <c r="U132" i="11"/>
  <c r="O132" i="11"/>
  <c r="G386" i="11"/>
  <c r="V63" i="11"/>
  <c r="J235" i="9"/>
  <c r="J234" i="9"/>
  <c r="J233" i="9"/>
  <c r="J232" i="9"/>
  <c r="J231" i="9"/>
  <c r="J230" i="9"/>
  <c r="J229" i="9"/>
  <c r="J228" i="9"/>
  <c r="J227" i="9"/>
  <c r="J226" i="9"/>
  <c r="J225" i="9"/>
  <c r="J224" i="9"/>
  <c r="J223" i="9"/>
  <c r="J222" i="9"/>
  <c r="J221" i="9"/>
  <c r="J220" i="9"/>
  <c r="J219" i="9"/>
  <c r="J218" i="9"/>
  <c r="J217" i="9"/>
  <c r="J216" i="9"/>
  <c r="J215" i="9"/>
  <c r="J214" i="9"/>
  <c r="J213" i="9"/>
  <c r="J212" i="9"/>
  <c r="J211" i="9"/>
  <c r="J210" i="9"/>
  <c r="J209" i="9"/>
  <c r="J208" i="9"/>
  <c r="J207" i="9"/>
  <c r="J206" i="9"/>
  <c r="J205" i="9"/>
  <c r="J204" i="9"/>
  <c r="J203" i="9"/>
  <c r="J202" i="9"/>
  <c r="J201" i="9"/>
  <c r="J200" i="9"/>
  <c r="J199" i="9"/>
  <c r="J198" i="9"/>
  <c r="J197" i="9"/>
  <c r="J196" i="9"/>
  <c r="J195" i="9"/>
  <c r="J194" i="9"/>
  <c r="J193" i="9"/>
  <c r="J192" i="9"/>
  <c r="J191" i="9"/>
  <c r="J190" i="9"/>
  <c r="J189" i="9"/>
  <c r="J188" i="9"/>
  <c r="J187" i="9"/>
  <c r="J186" i="9"/>
  <c r="J185" i="9"/>
  <c r="J184" i="9"/>
  <c r="J183" i="9"/>
  <c r="J182" i="9"/>
  <c r="J181" i="9"/>
  <c r="J180" i="9"/>
  <c r="J179" i="9"/>
  <c r="J178" i="9"/>
  <c r="J177" i="9"/>
  <c r="J176" i="9"/>
  <c r="J175" i="9"/>
  <c r="J174" i="9"/>
  <c r="J173" i="9"/>
  <c r="J172" i="9"/>
  <c r="J171" i="9"/>
  <c r="J170" i="9"/>
  <c r="J169" i="9"/>
  <c r="J168" i="9"/>
  <c r="J167" i="9"/>
  <c r="J166" i="9"/>
  <c r="J165" i="9"/>
  <c r="J164" i="9"/>
  <c r="J163" i="9"/>
  <c r="J162" i="9"/>
  <c r="J161" i="9"/>
  <c r="J160" i="9"/>
  <c r="J159" i="9"/>
  <c r="J158" i="9"/>
  <c r="J157" i="9"/>
  <c r="J156" i="9"/>
  <c r="J155" i="9"/>
  <c r="J154" i="9"/>
  <c r="J153" i="9"/>
  <c r="J152" i="9"/>
  <c r="J151" i="9"/>
  <c r="J150" i="9"/>
  <c r="J149" i="9"/>
  <c r="J148" i="9"/>
  <c r="J147" i="9"/>
  <c r="J146" i="9"/>
  <c r="J145" i="9"/>
  <c r="J144" i="9"/>
  <c r="J143" i="9"/>
  <c r="J142" i="9"/>
  <c r="J141" i="9"/>
  <c r="K137" i="9"/>
  <c r="J137" i="9"/>
  <c r="I137" i="9"/>
  <c r="H137" i="9"/>
  <c r="G137" i="9"/>
  <c r="F137" i="9"/>
  <c r="E137" i="9"/>
  <c r="D137" i="9"/>
  <c r="K136" i="9"/>
  <c r="J136" i="9"/>
  <c r="I136" i="9"/>
  <c r="H136" i="9"/>
  <c r="G136" i="9"/>
  <c r="F136" i="9"/>
  <c r="E136" i="9"/>
  <c r="D136" i="9"/>
  <c r="W133" i="9"/>
  <c r="V133" i="9"/>
  <c r="U133" i="9"/>
  <c r="T133" i="9"/>
  <c r="S133" i="9"/>
  <c r="R133" i="9"/>
  <c r="Q133" i="9"/>
  <c r="P133" i="9"/>
  <c r="O133" i="9"/>
  <c r="N133" i="9"/>
  <c r="M133" i="9"/>
  <c r="L133" i="9"/>
  <c r="K133" i="9"/>
  <c r="J133" i="9"/>
  <c r="I133" i="9"/>
  <c r="H133" i="9"/>
  <c r="G133" i="9"/>
  <c r="F133" i="9"/>
  <c r="E133" i="9"/>
  <c r="D133" i="9"/>
  <c r="W132" i="9"/>
  <c r="V132" i="9"/>
  <c r="U132" i="9"/>
  <c r="T132" i="9"/>
  <c r="S132" i="9"/>
  <c r="R132" i="9"/>
  <c r="Q132" i="9"/>
  <c r="P132" i="9"/>
  <c r="O132" i="9"/>
  <c r="N132" i="9"/>
  <c r="M132" i="9"/>
  <c r="L132" i="9"/>
  <c r="K132" i="9"/>
  <c r="J132" i="9"/>
  <c r="I132" i="9"/>
  <c r="H132" i="9"/>
  <c r="G132" i="9"/>
  <c r="F132" i="9"/>
  <c r="E132" i="9"/>
  <c r="D132" i="9"/>
  <c r="W131" i="9"/>
  <c r="V131" i="9"/>
  <c r="U131" i="9"/>
  <c r="T131" i="9"/>
  <c r="S131" i="9"/>
  <c r="R131" i="9"/>
  <c r="Q131" i="9"/>
  <c r="P131" i="9"/>
  <c r="O131" i="9"/>
  <c r="N131" i="9"/>
  <c r="M131" i="9"/>
  <c r="L131" i="9"/>
  <c r="K131" i="9"/>
  <c r="J131" i="9"/>
  <c r="I131" i="9"/>
  <c r="H131" i="9"/>
  <c r="G131" i="9"/>
  <c r="F131" i="9"/>
  <c r="E131" i="9"/>
  <c r="D131" i="9"/>
  <c r="K128" i="9"/>
  <c r="J128" i="9"/>
  <c r="I128" i="9"/>
  <c r="H128" i="9"/>
  <c r="G128" i="9"/>
  <c r="F128" i="9"/>
  <c r="E128" i="9"/>
  <c r="D128" i="9"/>
  <c r="W125" i="9"/>
  <c r="V125" i="9"/>
  <c r="U125" i="9"/>
  <c r="T125" i="9"/>
  <c r="S125" i="9"/>
  <c r="R125" i="9"/>
  <c r="Q125" i="9"/>
  <c r="P125" i="9"/>
  <c r="O125" i="9"/>
  <c r="N125" i="9"/>
  <c r="M125" i="9"/>
  <c r="L125" i="9"/>
  <c r="K125" i="9"/>
  <c r="J125" i="9"/>
  <c r="I125" i="9"/>
  <c r="H125" i="9"/>
  <c r="G125" i="9"/>
  <c r="F125" i="9"/>
  <c r="E125" i="9"/>
  <c r="D125" i="9"/>
  <c r="W122" i="9"/>
  <c r="V122" i="9"/>
  <c r="U122" i="9"/>
  <c r="T122" i="9"/>
  <c r="S122" i="9"/>
  <c r="R122" i="9"/>
  <c r="Q122" i="9"/>
  <c r="P122" i="9"/>
  <c r="O122" i="9"/>
  <c r="N122" i="9"/>
  <c r="M122" i="9"/>
  <c r="L122" i="9"/>
  <c r="K122" i="9"/>
  <c r="J122" i="9"/>
  <c r="I122" i="9"/>
  <c r="H122" i="9"/>
  <c r="G122" i="9"/>
  <c r="F122" i="9"/>
  <c r="E122" i="9"/>
  <c r="D122" i="9"/>
  <c r="W111" i="9"/>
  <c r="V111" i="9"/>
  <c r="U111" i="9"/>
  <c r="T111" i="9"/>
  <c r="S111" i="9"/>
  <c r="R111" i="9"/>
  <c r="Q111" i="9"/>
  <c r="P111" i="9"/>
  <c r="O111" i="9"/>
  <c r="N111" i="9"/>
  <c r="M111" i="9"/>
  <c r="L111" i="9"/>
  <c r="K111" i="9"/>
  <c r="J111" i="9"/>
  <c r="I111" i="9"/>
  <c r="H111" i="9"/>
  <c r="G111" i="9"/>
  <c r="F111" i="9"/>
  <c r="E111" i="9"/>
  <c r="D111" i="9"/>
  <c r="W105" i="9"/>
  <c r="V105" i="9"/>
  <c r="U105" i="9"/>
  <c r="T105" i="9"/>
  <c r="S105" i="9"/>
  <c r="R105" i="9"/>
  <c r="Q105" i="9"/>
  <c r="P105" i="9"/>
  <c r="O105" i="9"/>
  <c r="N105" i="9"/>
  <c r="M105" i="9"/>
  <c r="L105" i="9"/>
  <c r="K105" i="9"/>
  <c r="J105" i="9"/>
  <c r="I105" i="9"/>
  <c r="H105" i="9"/>
  <c r="G105" i="9"/>
  <c r="F105" i="9"/>
  <c r="E105" i="9"/>
  <c r="D105" i="9"/>
  <c r="W92" i="9"/>
  <c r="V92" i="9"/>
  <c r="U92" i="9"/>
  <c r="T92" i="9"/>
  <c r="S92" i="9"/>
  <c r="R92" i="9"/>
  <c r="Q92" i="9"/>
  <c r="P92" i="9"/>
  <c r="O92" i="9"/>
  <c r="N92" i="9"/>
  <c r="M92" i="9"/>
  <c r="L92" i="9"/>
  <c r="K92" i="9"/>
  <c r="J92" i="9"/>
  <c r="I92" i="9"/>
  <c r="H92" i="9"/>
  <c r="G92" i="9"/>
  <c r="F92" i="9"/>
  <c r="E92" i="9"/>
  <c r="D92" i="9"/>
  <c r="W79" i="9"/>
  <c r="V79" i="9"/>
  <c r="U79" i="9"/>
  <c r="T79" i="9"/>
  <c r="S79" i="9"/>
  <c r="R79" i="9"/>
  <c r="Q79" i="9"/>
  <c r="P79" i="9"/>
  <c r="O79" i="9"/>
  <c r="N79" i="9"/>
  <c r="M79" i="9"/>
  <c r="L79" i="9"/>
  <c r="K79" i="9"/>
  <c r="J79" i="9"/>
  <c r="I79" i="9"/>
  <c r="H79" i="9"/>
  <c r="G79" i="9"/>
  <c r="F79" i="9"/>
  <c r="E79" i="9"/>
  <c r="D79" i="9"/>
  <c r="W78" i="9"/>
  <c r="V78" i="9"/>
  <c r="U78" i="9"/>
  <c r="T78" i="9"/>
  <c r="S78" i="9"/>
  <c r="R78" i="9"/>
  <c r="Q78" i="9"/>
  <c r="P78" i="9"/>
  <c r="O78" i="9"/>
  <c r="N78" i="9"/>
  <c r="M78" i="9"/>
  <c r="L78" i="9"/>
  <c r="K78" i="9"/>
  <c r="I78" i="9"/>
  <c r="H78" i="9"/>
  <c r="G78" i="9"/>
  <c r="F78" i="9"/>
  <c r="E78" i="9"/>
  <c r="W76" i="9"/>
  <c r="V76" i="9"/>
  <c r="U76" i="9"/>
  <c r="T76" i="9"/>
  <c r="S76" i="9"/>
  <c r="R76" i="9"/>
  <c r="Q76" i="9"/>
  <c r="P76" i="9"/>
  <c r="O76" i="9"/>
  <c r="N76" i="9"/>
  <c r="M76" i="9"/>
  <c r="L76" i="9"/>
  <c r="K76" i="9"/>
  <c r="J76" i="9"/>
  <c r="I76" i="9"/>
  <c r="H76" i="9"/>
  <c r="G76" i="9"/>
  <c r="F76" i="9"/>
  <c r="E76" i="9"/>
  <c r="D76" i="9"/>
  <c r="W74" i="9"/>
  <c r="V74" i="9"/>
  <c r="U74" i="9"/>
  <c r="T74" i="9"/>
  <c r="S74" i="9"/>
  <c r="R74" i="9"/>
  <c r="Q74" i="9"/>
  <c r="P74" i="9"/>
  <c r="O74" i="9"/>
  <c r="N74" i="9"/>
  <c r="M74" i="9"/>
  <c r="L74" i="9"/>
  <c r="K74" i="9"/>
  <c r="J74" i="9"/>
  <c r="I74" i="9"/>
  <c r="H74" i="9"/>
  <c r="G74" i="9"/>
  <c r="F74" i="9"/>
  <c r="E74" i="9"/>
  <c r="D74" i="9"/>
  <c r="W63" i="9"/>
  <c r="V63" i="9"/>
  <c r="U63" i="9"/>
  <c r="T63" i="9"/>
  <c r="S63" i="9"/>
  <c r="R63" i="9"/>
  <c r="Q63" i="9"/>
  <c r="P63" i="9"/>
  <c r="O63" i="9"/>
  <c r="N63" i="9"/>
  <c r="M63" i="9"/>
  <c r="L63" i="9"/>
  <c r="K63" i="9"/>
  <c r="J63" i="9"/>
  <c r="I63" i="9"/>
  <c r="H63" i="9"/>
  <c r="G63" i="9"/>
  <c r="F63" i="9"/>
  <c r="E63" i="9"/>
  <c r="D63" i="9"/>
  <c r="W48" i="9"/>
  <c r="V48" i="9"/>
  <c r="U48" i="9"/>
  <c r="T48" i="9"/>
  <c r="S48" i="9"/>
  <c r="R48" i="9"/>
  <c r="Q48" i="9"/>
  <c r="P48" i="9"/>
  <c r="O48" i="9"/>
  <c r="N48" i="9"/>
  <c r="M48" i="9"/>
  <c r="L48" i="9"/>
  <c r="K48" i="9"/>
  <c r="J48" i="9"/>
  <c r="I48" i="9"/>
  <c r="H48" i="9"/>
  <c r="G48" i="9"/>
  <c r="F48" i="9"/>
  <c r="E48" i="9"/>
  <c r="D48" i="9"/>
  <c r="W27" i="9"/>
  <c r="V27" i="9"/>
  <c r="U27" i="9"/>
  <c r="T27" i="9"/>
  <c r="S27" i="9"/>
  <c r="R27" i="9"/>
  <c r="Q27" i="9"/>
  <c r="P27" i="9"/>
  <c r="O27" i="9"/>
  <c r="N27" i="9"/>
  <c r="M27" i="9"/>
  <c r="L27" i="9"/>
  <c r="K27" i="9"/>
  <c r="J27" i="9"/>
  <c r="I27" i="9"/>
  <c r="G27" i="9"/>
  <c r="F27" i="9"/>
  <c r="E27" i="9"/>
  <c r="D27" i="9"/>
  <c r="W17" i="9"/>
  <c r="V17" i="9"/>
  <c r="U17" i="9"/>
  <c r="T17" i="9"/>
  <c r="S17" i="9"/>
  <c r="R17" i="9"/>
  <c r="Q17" i="9"/>
  <c r="P17" i="9"/>
  <c r="O17" i="9"/>
  <c r="N17" i="9"/>
  <c r="M17" i="9"/>
  <c r="L17" i="9"/>
  <c r="K17" i="9"/>
  <c r="J17" i="9"/>
  <c r="I17" i="9"/>
  <c r="H17" i="9"/>
  <c r="G17" i="9"/>
  <c r="F17" i="9"/>
  <c r="E17" i="9"/>
  <c r="D17" i="9"/>
  <c r="W11" i="9"/>
  <c r="V11" i="9"/>
  <c r="U11" i="9"/>
  <c r="T11" i="9"/>
  <c r="S11" i="9"/>
  <c r="R11" i="9"/>
  <c r="Q11" i="9"/>
  <c r="P11" i="9"/>
  <c r="O11" i="9"/>
  <c r="N11" i="9"/>
  <c r="M11" i="9"/>
  <c r="L11" i="9"/>
  <c r="K11" i="9"/>
  <c r="J11" i="9"/>
  <c r="I11" i="9"/>
  <c r="H11" i="9"/>
  <c r="G11" i="9"/>
  <c r="F11" i="9"/>
  <c r="E11" i="9"/>
  <c r="D11" i="9"/>
  <c r="D152" i="7"/>
  <c r="D150" i="7"/>
  <c r="D140" i="7"/>
  <c r="D128" i="7"/>
  <c r="V104" i="7"/>
  <c r="U104" i="7"/>
  <c r="V103" i="7"/>
  <c r="U103" i="7"/>
  <c r="AC102" i="7"/>
  <c r="AB102" i="7"/>
  <c r="AA102" i="7"/>
  <c r="Z102" i="7"/>
  <c r="X102" i="7"/>
  <c r="W102" i="7"/>
  <c r="V102" i="7"/>
  <c r="U102" i="7"/>
  <c r="AC101" i="7"/>
  <c r="AB101" i="7"/>
  <c r="AA101" i="7"/>
  <c r="Z101" i="7"/>
  <c r="X101" i="7"/>
  <c r="W101" i="7"/>
  <c r="V101" i="7"/>
  <c r="U101" i="7"/>
  <c r="AC100" i="7"/>
  <c r="AB100" i="7"/>
  <c r="AA100" i="7"/>
  <c r="Z100" i="7"/>
  <c r="X100" i="7"/>
  <c r="W100" i="7"/>
  <c r="V100" i="7"/>
  <c r="U100" i="7"/>
  <c r="AC99" i="7"/>
  <c r="AB99" i="7"/>
  <c r="AA99" i="7"/>
  <c r="Z99" i="7"/>
  <c r="X99" i="7"/>
  <c r="W99" i="7"/>
  <c r="V99" i="7"/>
  <c r="U99" i="7"/>
  <c r="AC98" i="7"/>
  <c r="AB98" i="7"/>
  <c r="AA98" i="7"/>
  <c r="Z98" i="7"/>
  <c r="X98" i="7"/>
  <c r="W98" i="7"/>
  <c r="V98" i="7"/>
  <c r="U98" i="7"/>
  <c r="AC97" i="7"/>
  <c r="AB97" i="7"/>
  <c r="AA97" i="7"/>
  <c r="Z97" i="7"/>
  <c r="X97" i="7"/>
  <c r="W97" i="7"/>
  <c r="V97" i="7"/>
  <c r="U97" i="7"/>
  <c r="K94" i="7"/>
  <c r="K93" i="7"/>
  <c r="I92" i="7"/>
  <c r="J92" i="7" s="1"/>
  <c r="I91" i="7"/>
  <c r="J91" i="7" s="1"/>
  <c r="I90" i="7"/>
  <c r="J90" i="7" s="1"/>
  <c r="I89" i="7"/>
  <c r="J89" i="7" s="1"/>
  <c r="I88" i="7"/>
  <c r="J88" i="7" s="1"/>
  <c r="I87" i="7"/>
  <c r="J87" i="7" s="1"/>
  <c r="T83" i="7"/>
  <c r="S83" i="7"/>
  <c r="R83" i="7"/>
  <c r="Q83" i="7"/>
  <c r="P83" i="7"/>
  <c r="O83" i="7"/>
  <c r="N83" i="7"/>
  <c r="M83" i="7"/>
  <c r="L83" i="7"/>
  <c r="K83" i="7"/>
  <c r="J83" i="7"/>
  <c r="I83" i="7"/>
  <c r="H83" i="7"/>
  <c r="G83" i="7"/>
  <c r="F83" i="7"/>
  <c r="E83" i="7"/>
  <c r="D83" i="7"/>
  <c r="T82" i="7"/>
  <c r="S82" i="7"/>
  <c r="R82" i="7"/>
  <c r="Q82" i="7"/>
  <c r="P82" i="7"/>
  <c r="O82" i="7"/>
  <c r="N82" i="7"/>
  <c r="M82" i="7"/>
  <c r="L82" i="7"/>
  <c r="K82" i="7"/>
  <c r="J82" i="7"/>
  <c r="I82" i="7"/>
  <c r="H82" i="7"/>
  <c r="G82" i="7"/>
  <c r="F82" i="7"/>
  <c r="E82" i="7"/>
  <c r="D82" i="7"/>
  <c r="AD80" i="7"/>
  <c r="AC80" i="7"/>
  <c r="AB80" i="7"/>
  <c r="AA80" i="7"/>
  <c r="Z80" i="7"/>
  <c r="Y80" i="7"/>
  <c r="X80" i="7"/>
  <c r="W80" i="7"/>
  <c r="V80" i="7"/>
  <c r="U80" i="7"/>
  <c r="T80" i="7"/>
  <c r="S80" i="7"/>
  <c r="R80" i="7"/>
  <c r="Q80" i="7"/>
  <c r="P80" i="7"/>
  <c r="O80" i="7"/>
  <c r="N80" i="7"/>
  <c r="M80" i="7"/>
  <c r="L80" i="7"/>
  <c r="K80" i="7"/>
  <c r="J80" i="7"/>
  <c r="I80" i="7"/>
  <c r="H80" i="7"/>
  <c r="G80" i="7"/>
  <c r="F80" i="7"/>
  <c r="E80" i="7"/>
  <c r="D80" i="7"/>
  <c r="T79" i="7"/>
  <c r="S79" i="7"/>
  <c r="R79" i="7"/>
  <c r="Q79" i="7"/>
  <c r="P79" i="7"/>
  <c r="O79" i="7"/>
  <c r="N79" i="7"/>
  <c r="M79" i="7"/>
  <c r="L79" i="7"/>
  <c r="K79" i="7"/>
  <c r="J79" i="7"/>
  <c r="I79" i="7"/>
  <c r="H79" i="7"/>
  <c r="G79" i="7"/>
  <c r="F79" i="7"/>
  <c r="E79" i="7"/>
  <c r="D79" i="7"/>
  <c r="T78" i="7"/>
  <c r="S78" i="7"/>
  <c r="R78" i="7"/>
  <c r="Q78" i="7"/>
  <c r="P78" i="7"/>
  <c r="O78" i="7"/>
  <c r="N78" i="7"/>
  <c r="M78" i="7"/>
  <c r="L78" i="7"/>
  <c r="K78" i="7"/>
  <c r="J78" i="7"/>
  <c r="I78" i="7"/>
  <c r="H78" i="7"/>
  <c r="G78" i="7"/>
  <c r="F78" i="7"/>
  <c r="E78" i="7"/>
  <c r="D78" i="7"/>
  <c r="AD77" i="7"/>
  <c r="AC77" i="7"/>
  <c r="AB77" i="7"/>
  <c r="AA77" i="7"/>
  <c r="Z77" i="7"/>
  <c r="Y77" i="7"/>
  <c r="X77" i="7"/>
  <c r="W77" i="7"/>
  <c r="V77" i="7"/>
  <c r="U77" i="7"/>
  <c r="T77" i="7"/>
  <c r="S77" i="7"/>
  <c r="R77" i="7"/>
  <c r="Q77" i="7"/>
  <c r="P77" i="7"/>
  <c r="O77" i="7"/>
  <c r="N77" i="7"/>
  <c r="M77" i="7"/>
  <c r="L77" i="7"/>
  <c r="K77" i="7"/>
  <c r="J77" i="7"/>
  <c r="I77" i="7"/>
  <c r="H77" i="7"/>
  <c r="G77" i="7"/>
  <c r="F77" i="7"/>
  <c r="E77" i="7"/>
  <c r="D77" i="7"/>
  <c r="T73" i="7"/>
  <c r="S73" i="7"/>
  <c r="R73" i="7"/>
  <c r="Q73" i="7"/>
  <c r="P73" i="7"/>
  <c r="O73" i="7"/>
  <c r="N73" i="7"/>
  <c r="M73" i="7"/>
  <c r="L73" i="7"/>
  <c r="K73" i="7"/>
  <c r="J73" i="7"/>
  <c r="T70" i="7"/>
  <c r="S70" i="7"/>
  <c r="R70" i="7"/>
  <c r="Q70" i="7"/>
  <c r="P70" i="7"/>
  <c r="O70" i="7"/>
  <c r="N70" i="7"/>
  <c r="M70" i="7"/>
  <c r="L70" i="7"/>
  <c r="K70" i="7"/>
  <c r="J70" i="7"/>
  <c r="I70" i="7"/>
  <c r="H70" i="7"/>
  <c r="G70" i="7"/>
  <c r="F70" i="7"/>
  <c r="E70" i="7"/>
  <c r="D70" i="7"/>
  <c r="AD67" i="7"/>
  <c r="AC67" i="7"/>
  <c r="AB67" i="7"/>
  <c r="AA67" i="7"/>
  <c r="Z67" i="7"/>
  <c r="Y67" i="7"/>
  <c r="X67" i="7"/>
  <c r="W67" i="7"/>
  <c r="V67" i="7"/>
  <c r="U67" i="7"/>
  <c r="T67" i="7"/>
  <c r="S67" i="7"/>
  <c r="R67" i="7"/>
  <c r="Q67" i="7"/>
  <c r="P67" i="7"/>
  <c r="O67" i="7"/>
  <c r="N67" i="7"/>
  <c r="M67" i="7"/>
  <c r="L67" i="7"/>
  <c r="K67" i="7"/>
  <c r="J67" i="7"/>
  <c r="I67" i="7"/>
  <c r="H67" i="7"/>
  <c r="G67" i="7"/>
  <c r="F67" i="7"/>
  <c r="E67" i="7"/>
  <c r="D67" i="7"/>
  <c r="AD66" i="7"/>
  <c r="AC66" i="7"/>
  <c r="AB66" i="7"/>
  <c r="AA66" i="7"/>
  <c r="Z66" i="7"/>
  <c r="Y66" i="7"/>
  <c r="X66" i="7"/>
  <c r="W66" i="7"/>
  <c r="V66" i="7"/>
  <c r="U66" i="7"/>
  <c r="AD65" i="7"/>
  <c r="AC65" i="7"/>
  <c r="AB65" i="7"/>
  <c r="AA65" i="7"/>
  <c r="Z65" i="7"/>
  <c r="Y65" i="7"/>
  <c r="X65" i="7"/>
  <c r="W65" i="7"/>
  <c r="V65" i="7"/>
  <c r="U65" i="7"/>
  <c r="AD64" i="7"/>
  <c r="AC64" i="7"/>
  <c r="AB64" i="7"/>
  <c r="AA64" i="7"/>
  <c r="Z64" i="7"/>
  <c r="Y64" i="7"/>
  <c r="X64" i="7"/>
  <c r="W64" i="7"/>
  <c r="V64" i="7"/>
  <c r="U64" i="7"/>
  <c r="AD63" i="7"/>
  <c r="AC63" i="7"/>
  <c r="AB63" i="7"/>
  <c r="AA63" i="7"/>
  <c r="Z63" i="7"/>
  <c r="Y63" i="7"/>
  <c r="X63" i="7"/>
  <c r="W63" i="7"/>
  <c r="V63" i="7"/>
  <c r="U63" i="7"/>
  <c r="AD62" i="7"/>
  <c r="Y62" i="7"/>
  <c r="AD60" i="7"/>
  <c r="AC60" i="7"/>
  <c r="AB60" i="7"/>
  <c r="AA60" i="7"/>
  <c r="Z60" i="7"/>
  <c r="Y60" i="7"/>
  <c r="X60" i="7"/>
  <c r="W60" i="7"/>
  <c r="V60" i="7"/>
  <c r="U60" i="7"/>
  <c r="T60" i="7"/>
  <c r="S60" i="7"/>
  <c r="R60" i="7"/>
  <c r="Q60" i="7"/>
  <c r="P60" i="7"/>
  <c r="O60" i="7"/>
  <c r="N60" i="7"/>
  <c r="M60" i="7"/>
  <c r="L60" i="7"/>
  <c r="K60" i="7"/>
  <c r="J60" i="7"/>
  <c r="I60" i="7"/>
  <c r="H60" i="7"/>
  <c r="G60" i="7"/>
  <c r="F60" i="7"/>
  <c r="E60" i="7"/>
  <c r="D60" i="7"/>
  <c r="AD59" i="7"/>
  <c r="Y59" i="7"/>
  <c r="AD58" i="7"/>
  <c r="AC58" i="7"/>
  <c r="AB58" i="7"/>
  <c r="AA58" i="7"/>
  <c r="Z58" i="7"/>
  <c r="Y58" i="7"/>
  <c r="X58" i="7"/>
  <c r="W58" i="7"/>
  <c r="V58" i="7"/>
  <c r="U58" i="7"/>
  <c r="T56" i="7"/>
  <c r="S56" i="7"/>
  <c r="R56" i="7"/>
  <c r="Q56" i="7"/>
  <c r="P56" i="7"/>
  <c r="O56" i="7"/>
  <c r="N56" i="7"/>
  <c r="M56" i="7"/>
  <c r="L56" i="7"/>
  <c r="K56" i="7"/>
  <c r="J56" i="7"/>
  <c r="I56" i="7"/>
  <c r="H56" i="7"/>
  <c r="G56" i="7"/>
  <c r="F56" i="7"/>
  <c r="E56" i="7"/>
  <c r="D56" i="7"/>
  <c r="AD55" i="7"/>
  <c r="AC55" i="7"/>
  <c r="AB55" i="7"/>
  <c r="AA55" i="7"/>
  <c r="Z55" i="7"/>
  <c r="Y55" i="7"/>
  <c r="X55" i="7"/>
  <c r="W55" i="7"/>
  <c r="V55" i="7"/>
  <c r="U55" i="7"/>
  <c r="AD54" i="7"/>
  <c r="AC54" i="7"/>
  <c r="AB54" i="7"/>
  <c r="AA54" i="7"/>
  <c r="Z54" i="7"/>
  <c r="Y54" i="7"/>
  <c r="X54" i="7"/>
  <c r="W54" i="7"/>
  <c r="V54" i="7"/>
  <c r="U54" i="7"/>
  <c r="AD53" i="7"/>
  <c r="AC53" i="7"/>
  <c r="AB53" i="7"/>
  <c r="AA53" i="7"/>
  <c r="Z53" i="7"/>
  <c r="Y53" i="7"/>
  <c r="X53" i="7"/>
  <c r="W53" i="7"/>
  <c r="V53" i="7"/>
  <c r="U53" i="7"/>
  <c r="AD52" i="7"/>
  <c r="Y52" i="7"/>
  <c r="AD49" i="7"/>
  <c r="AC49" i="7"/>
  <c r="AB49" i="7"/>
  <c r="AA49" i="7"/>
  <c r="Z49" i="7"/>
  <c r="Y49" i="7"/>
  <c r="X49" i="7"/>
  <c r="W49" i="7"/>
  <c r="V49" i="7"/>
  <c r="U49" i="7"/>
  <c r="T49" i="7"/>
  <c r="S49" i="7"/>
  <c r="R49" i="7"/>
  <c r="Q49" i="7"/>
  <c r="P49" i="7"/>
  <c r="O49" i="7"/>
  <c r="N49" i="7"/>
  <c r="M49" i="7"/>
  <c r="L49" i="7"/>
  <c r="K49" i="7"/>
  <c r="J49" i="7"/>
  <c r="I49" i="7"/>
  <c r="H49" i="7"/>
  <c r="G49" i="7"/>
  <c r="F49" i="7"/>
  <c r="E49" i="7"/>
  <c r="D49" i="7"/>
  <c r="AD48" i="7"/>
  <c r="Y48" i="7"/>
  <c r="AD47" i="7"/>
  <c r="Y47" i="7"/>
  <c r="AD46" i="7"/>
  <c r="AC46" i="7"/>
  <c r="AB46" i="7"/>
  <c r="AA46" i="7"/>
  <c r="Z46" i="7"/>
  <c r="Y46" i="7"/>
  <c r="X46" i="7"/>
  <c r="W46" i="7"/>
  <c r="V46" i="7"/>
  <c r="U46" i="7"/>
  <c r="T43" i="7"/>
  <c r="S43" i="7"/>
  <c r="R43" i="7"/>
  <c r="Q43" i="7"/>
  <c r="P43" i="7"/>
  <c r="O43" i="7"/>
  <c r="N43" i="7"/>
  <c r="M43" i="7"/>
  <c r="L43" i="7"/>
  <c r="J43" i="7"/>
  <c r="I43" i="7"/>
  <c r="H43" i="7"/>
  <c r="G43" i="7"/>
  <c r="F43" i="7"/>
  <c r="E43" i="7"/>
  <c r="D43" i="7"/>
  <c r="Y42" i="7"/>
  <c r="U42" i="7"/>
  <c r="T42" i="7"/>
  <c r="S42" i="7"/>
  <c r="R42" i="7"/>
  <c r="Q42" i="7"/>
  <c r="P42" i="7"/>
  <c r="O42" i="7"/>
  <c r="N42" i="7"/>
  <c r="M42" i="7"/>
  <c r="L42" i="7"/>
  <c r="K42" i="7"/>
  <c r="J42" i="7"/>
  <c r="I42" i="7"/>
  <c r="H42" i="7"/>
  <c r="G42" i="7"/>
  <c r="F42" i="7"/>
  <c r="E42" i="7"/>
  <c r="T40" i="7"/>
  <c r="S40" i="7"/>
  <c r="R40" i="7"/>
  <c r="Q40" i="7"/>
  <c r="P40" i="7"/>
  <c r="O40" i="7"/>
  <c r="N40" i="7"/>
  <c r="M40" i="7"/>
  <c r="L40" i="7"/>
  <c r="K40" i="7"/>
  <c r="J40" i="7"/>
  <c r="I40" i="7"/>
  <c r="H40" i="7"/>
  <c r="G40" i="7"/>
  <c r="F40" i="7"/>
  <c r="E40" i="7"/>
  <c r="D40" i="7"/>
  <c r="U38" i="7"/>
  <c r="T38" i="7"/>
  <c r="S38" i="7"/>
  <c r="R38" i="7"/>
  <c r="Q38" i="7"/>
  <c r="P38" i="7"/>
  <c r="O38" i="7"/>
  <c r="N38" i="7"/>
  <c r="M38" i="7"/>
  <c r="L38" i="7"/>
  <c r="K38" i="7"/>
  <c r="J38" i="7"/>
  <c r="I38" i="7"/>
  <c r="H38" i="7"/>
  <c r="G38" i="7"/>
  <c r="F38" i="7"/>
  <c r="E38" i="7"/>
  <c r="D38" i="7"/>
  <c r="AD37" i="7"/>
  <c r="Y37" i="7"/>
  <c r="U36" i="7"/>
  <c r="AD35" i="7"/>
  <c r="AC35" i="7"/>
  <c r="AB35" i="7"/>
  <c r="AA35" i="7"/>
  <c r="Z35" i="7"/>
  <c r="Y35" i="7"/>
  <c r="X35" i="7"/>
  <c r="W35" i="7"/>
  <c r="V35" i="7"/>
  <c r="U35" i="7"/>
  <c r="AD34" i="7"/>
  <c r="Y34" i="7"/>
  <c r="AD32" i="7"/>
  <c r="AC32" i="7"/>
  <c r="AB32" i="7"/>
  <c r="AA32" i="7"/>
  <c r="Z32" i="7"/>
  <c r="Y32" i="7"/>
  <c r="X32" i="7"/>
  <c r="W32" i="7"/>
  <c r="V32" i="7"/>
  <c r="U32" i="7"/>
  <c r="T32" i="7"/>
  <c r="S32" i="7"/>
  <c r="R32" i="7"/>
  <c r="Q32" i="7"/>
  <c r="P32" i="7"/>
  <c r="O32" i="7"/>
  <c r="N32" i="7"/>
  <c r="M32" i="7"/>
  <c r="L32" i="7"/>
  <c r="K32" i="7"/>
  <c r="J32" i="7"/>
  <c r="I32" i="7"/>
  <c r="H32" i="7"/>
  <c r="G32" i="7"/>
  <c r="F32" i="7"/>
  <c r="E32" i="7"/>
  <c r="D32" i="7"/>
  <c r="AD31" i="7"/>
  <c r="Y31" i="7"/>
  <c r="AD30" i="7"/>
  <c r="Y30" i="7"/>
  <c r="T28" i="7"/>
  <c r="S28" i="7"/>
  <c r="R28" i="7"/>
  <c r="Q28" i="7"/>
  <c r="P28" i="7"/>
  <c r="O28" i="7"/>
  <c r="N28" i="7"/>
  <c r="M28" i="7"/>
  <c r="L28" i="7"/>
  <c r="K28" i="7"/>
  <c r="J28" i="7"/>
  <c r="I28" i="7"/>
  <c r="H28" i="7"/>
  <c r="G28" i="7"/>
  <c r="F28" i="7"/>
  <c r="E28" i="7"/>
  <c r="D28" i="7"/>
  <c r="AD27" i="7"/>
  <c r="Y27" i="7"/>
  <c r="AD26" i="7"/>
  <c r="Y26" i="7"/>
  <c r="AD25" i="7"/>
  <c r="Y25" i="7"/>
  <c r="AD24" i="7"/>
  <c r="Y24" i="7"/>
  <c r="AD23" i="7"/>
  <c r="Y23" i="7"/>
  <c r="AD22" i="7"/>
  <c r="Y22" i="7"/>
  <c r="AD21" i="7"/>
  <c r="Y21" i="7"/>
  <c r="AD20" i="7"/>
  <c r="Y20" i="7"/>
  <c r="AD19" i="7"/>
  <c r="AC19" i="7"/>
  <c r="AB19" i="7"/>
  <c r="AA19" i="7"/>
  <c r="Z19" i="7"/>
  <c r="Y19" i="7"/>
  <c r="X19" i="7"/>
  <c r="W19" i="7"/>
  <c r="V19" i="7"/>
  <c r="U19" i="7"/>
  <c r="T17" i="7"/>
  <c r="S17" i="7"/>
  <c r="R17" i="7"/>
  <c r="Q17" i="7"/>
  <c r="P17" i="7"/>
  <c r="O17" i="7"/>
  <c r="N17" i="7"/>
  <c r="M17" i="7"/>
  <c r="L17" i="7"/>
  <c r="K17" i="7"/>
  <c r="J17" i="7"/>
  <c r="I17" i="7"/>
  <c r="H17" i="7"/>
  <c r="G17" i="7"/>
  <c r="F17" i="7"/>
  <c r="E17" i="7"/>
  <c r="D17" i="7"/>
  <c r="AD16" i="7"/>
  <c r="Y16" i="7"/>
  <c r="AD15" i="7"/>
  <c r="AC15" i="7"/>
  <c r="AB15" i="7"/>
  <c r="AA15" i="7"/>
  <c r="Z15" i="7"/>
  <c r="Y15" i="7"/>
  <c r="X15" i="7"/>
  <c r="W15" i="7"/>
  <c r="V15" i="7"/>
  <c r="U15" i="7"/>
  <c r="S15" i="7"/>
  <c r="AD14" i="7"/>
  <c r="AC14" i="7"/>
  <c r="AB14" i="7"/>
  <c r="AA14" i="7"/>
  <c r="Z14" i="7"/>
  <c r="Y14" i="7"/>
  <c r="X14" i="7"/>
  <c r="W14" i="7"/>
  <c r="V14" i="7"/>
  <c r="U14" i="7"/>
  <c r="T12" i="7"/>
  <c r="S12" i="7"/>
  <c r="R12" i="7"/>
  <c r="Q12" i="7"/>
  <c r="P12" i="7"/>
  <c r="O12" i="7"/>
  <c r="N12" i="7"/>
  <c r="M12" i="7"/>
  <c r="L12" i="7"/>
  <c r="K12" i="7"/>
  <c r="J12" i="7"/>
  <c r="I12" i="7"/>
  <c r="H12" i="7"/>
  <c r="G12" i="7"/>
  <c r="F12" i="7"/>
  <c r="E12" i="7"/>
  <c r="D12" i="7"/>
  <c r="AD11" i="7"/>
  <c r="Y11" i="7"/>
  <c r="AD10" i="7"/>
  <c r="AC10" i="7"/>
  <c r="AB10" i="7"/>
  <c r="AA10" i="7"/>
  <c r="Z10" i="7"/>
  <c r="Y10" i="7"/>
  <c r="X10" i="7"/>
  <c r="W10" i="7"/>
  <c r="V10" i="7"/>
  <c r="U10" i="7"/>
  <c r="AD9" i="7"/>
  <c r="AC9" i="7"/>
  <c r="AB9" i="7"/>
  <c r="AA9" i="7"/>
  <c r="Z9" i="7"/>
  <c r="Y9" i="7"/>
  <c r="X9" i="7"/>
  <c r="W9" i="7"/>
  <c r="V9" i="7"/>
  <c r="U9" i="7"/>
  <c r="S9" i="7"/>
  <c r="AC161" i="8"/>
  <c r="AB161" i="8"/>
  <c r="AA161" i="8"/>
  <c r="Z161" i="8"/>
  <c r="X161" i="8"/>
  <c r="W161" i="8"/>
  <c r="V161" i="8"/>
  <c r="U161" i="8"/>
  <c r="AC160" i="8"/>
  <c r="AB160" i="8"/>
  <c r="AA160" i="8"/>
  <c r="Z160" i="8"/>
  <c r="X160" i="8"/>
  <c r="W160" i="8"/>
  <c r="V160" i="8"/>
  <c r="U160" i="8"/>
  <c r="AC159" i="8"/>
  <c r="AB159" i="8"/>
  <c r="AA159" i="8"/>
  <c r="Z159" i="8"/>
  <c r="X159" i="8"/>
  <c r="W159" i="8"/>
  <c r="V159" i="8"/>
  <c r="AC158" i="8"/>
  <c r="AB158" i="8"/>
  <c r="AA158" i="8"/>
  <c r="Z158" i="8"/>
  <c r="X158" i="8"/>
  <c r="W158" i="8"/>
  <c r="V158" i="8"/>
  <c r="U158" i="8"/>
  <c r="AC157" i="8"/>
  <c r="AB157" i="8"/>
  <c r="AA157" i="8"/>
  <c r="Z157" i="8"/>
  <c r="X157" i="8"/>
  <c r="W157" i="8"/>
  <c r="V157" i="8"/>
  <c r="AC156" i="8"/>
  <c r="AB156" i="8"/>
  <c r="AA156" i="8"/>
  <c r="Z156" i="8"/>
  <c r="X156" i="8"/>
  <c r="W156" i="8"/>
  <c r="V156" i="8"/>
  <c r="U156" i="8"/>
  <c r="AC150" i="8"/>
  <c r="AB150" i="8"/>
  <c r="AA150" i="8"/>
  <c r="Z150" i="8"/>
  <c r="X150" i="8"/>
  <c r="W150" i="8"/>
  <c r="V150" i="8"/>
  <c r="U150" i="8"/>
  <c r="AC149" i="8"/>
  <c r="AB149" i="8"/>
  <c r="AA149" i="8"/>
  <c r="Z149" i="8"/>
  <c r="X149" i="8"/>
  <c r="W149" i="8"/>
  <c r="V149" i="8"/>
  <c r="U149" i="8"/>
  <c r="D145" i="8" a="1"/>
  <c r="D145" i="8" s="1"/>
  <c r="D146" i="8" s="1"/>
  <c r="D140" i="8"/>
  <c r="D137" i="8"/>
  <c r="D135" i="8"/>
  <c r="D134" i="8"/>
  <c r="D132" i="8"/>
  <c r="K128" i="8"/>
  <c r="L128" i="8" s="1"/>
  <c r="U128" i="8" s="1"/>
  <c r="E128" i="8"/>
  <c r="K127" i="8"/>
  <c r="L127" i="8" s="1"/>
  <c r="E127" i="8"/>
  <c r="K126" i="8"/>
  <c r="L126" i="8" s="1"/>
  <c r="V126" i="8" s="1"/>
  <c r="E126" i="8"/>
  <c r="K125" i="8"/>
  <c r="L125" i="8" s="1"/>
  <c r="E125" i="8"/>
  <c r="Z124" i="8"/>
  <c r="Y124" i="8"/>
  <c r="X124" i="8"/>
  <c r="K124" i="8"/>
  <c r="L124" i="8" s="1"/>
  <c r="E124" i="8"/>
  <c r="K123" i="8"/>
  <c r="L123" i="8" s="1"/>
  <c r="E123" i="8"/>
  <c r="K122" i="8"/>
  <c r="L122" i="8" s="1"/>
  <c r="E122" i="8"/>
  <c r="K121" i="8"/>
  <c r="L121" i="8" s="1"/>
  <c r="V121" i="8" s="1"/>
  <c r="E121" i="8"/>
  <c r="K120" i="8"/>
  <c r="L120" i="8" s="1"/>
  <c r="W120" i="8" s="1"/>
  <c r="E120" i="8"/>
  <c r="K119" i="8"/>
  <c r="L119" i="8" s="1"/>
  <c r="T119" i="8" s="1"/>
  <c r="E119" i="8"/>
  <c r="K118" i="8"/>
  <c r="L118" i="8" s="1"/>
  <c r="E118" i="8"/>
  <c r="K117" i="8"/>
  <c r="L117" i="8" s="1"/>
  <c r="T117" i="8" s="1"/>
  <c r="K116" i="8"/>
  <c r="L116" i="8" s="1"/>
  <c r="T112" i="8"/>
  <c r="S112" i="8"/>
  <c r="R112" i="8"/>
  <c r="Q112" i="8"/>
  <c r="P112" i="8"/>
  <c r="O112" i="8"/>
  <c r="N112" i="8"/>
  <c r="M112" i="8"/>
  <c r="L112" i="8"/>
  <c r="K112" i="8"/>
  <c r="J112" i="8"/>
  <c r="I112" i="8"/>
  <c r="H112" i="8"/>
  <c r="G112" i="8"/>
  <c r="F112" i="8"/>
  <c r="E112" i="8"/>
  <c r="D112" i="8"/>
  <c r="T111" i="8"/>
  <c r="S111" i="8"/>
  <c r="R111" i="8"/>
  <c r="Q111" i="8"/>
  <c r="P111" i="8"/>
  <c r="O111" i="8"/>
  <c r="N111" i="8"/>
  <c r="M111" i="8"/>
  <c r="L111" i="8"/>
  <c r="K111" i="8"/>
  <c r="J111" i="8"/>
  <c r="I111" i="8"/>
  <c r="H111" i="8"/>
  <c r="G111" i="8"/>
  <c r="F111" i="8"/>
  <c r="E111" i="8"/>
  <c r="D111" i="8"/>
  <c r="AD109" i="8"/>
  <c r="AC109" i="8"/>
  <c r="AB109" i="8"/>
  <c r="AA109" i="8"/>
  <c r="Z109" i="8"/>
  <c r="Y109" i="8"/>
  <c r="X109" i="8"/>
  <c r="W109" i="8"/>
  <c r="V109" i="8"/>
  <c r="U109" i="8"/>
  <c r="T109" i="8"/>
  <c r="S109" i="8"/>
  <c r="R109" i="8"/>
  <c r="Q109" i="8"/>
  <c r="P109" i="8"/>
  <c r="O109" i="8"/>
  <c r="N109" i="8"/>
  <c r="M109" i="8"/>
  <c r="L109" i="8"/>
  <c r="K109" i="8"/>
  <c r="J109" i="8"/>
  <c r="I109" i="8"/>
  <c r="H109" i="8"/>
  <c r="G109" i="8"/>
  <c r="F109" i="8"/>
  <c r="E109" i="8"/>
  <c r="D109" i="8"/>
  <c r="T108" i="8"/>
  <c r="S108" i="8"/>
  <c r="R108" i="8"/>
  <c r="Q108" i="8"/>
  <c r="P108" i="8"/>
  <c r="O108" i="8"/>
  <c r="N108" i="8"/>
  <c r="M108" i="8"/>
  <c r="L108" i="8"/>
  <c r="K108" i="8"/>
  <c r="J108" i="8"/>
  <c r="I108" i="8"/>
  <c r="H108" i="8"/>
  <c r="G108" i="8"/>
  <c r="F108" i="8"/>
  <c r="E108" i="8"/>
  <c r="D108" i="8"/>
  <c r="T107" i="8"/>
  <c r="S107" i="8"/>
  <c r="R107" i="8"/>
  <c r="Q107" i="8"/>
  <c r="P107" i="8"/>
  <c r="O107" i="8"/>
  <c r="N107" i="8"/>
  <c r="M107" i="8"/>
  <c r="L107" i="8"/>
  <c r="K107" i="8"/>
  <c r="J107" i="8"/>
  <c r="I107" i="8"/>
  <c r="H107" i="8"/>
  <c r="G107" i="8"/>
  <c r="F107" i="8"/>
  <c r="E107" i="8"/>
  <c r="D107" i="8"/>
  <c r="T106" i="8"/>
  <c r="S106" i="8"/>
  <c r="R106" i="8"/>
  <c r="Q106" i="8"/>
  <c r="P106" i="8"/>
  <c r="O106" i="8"/>
  <c r="N106" i="8"/>
  <c r="M106" i="8"/>
  <c r="L106" i="8"/>
  <c r="K106" i="8"/>
  <c r="J106" i="8"/>
  <c r="I106" i="8"/>
  <c r="H106" i="8"/>
  <c r="G106" i="8"/>
  <c r="F106" i="8"/>
  <c r="E106" i="8"/>
  <c r="D106" i="8"/>
  <c r="T103" i="8"/>
  <c r="S103" i="8"/>
  <c r="R103" i="8"/>
  <c r="Q103" i="8"/>
  <c r="P103" i="8"/>
  <c r="O103" i="8"/>
  <c r="N103" i="8"/>
  <c r="M103" i="8"/>
  <c r="L103" i="8"/>
  <c r="K103" i="8"/>
  <c r="J103" i="8"/>
  <c r="I103" i="8"/>
  <c r="H103" i="8"/>
  <c r="G103" i="8"/>
  <c r="F103" i="8"/>
  <c r="E103" i="8"/>
  <c r="D103" i="8"/>
  <c r="T100" i="8"/>
  <c r="S100" i="8"/>
  <c r="R100" i="8"/>
  <c r="Q100" i="8"/>
  <c r="P100" i="8"/>
  <c r="O100" i="8"/>
  <c r="N100" i="8"/>
  <c r="M100" i="8"/>
  <c r="L100" i="8"/>
  <c r="K100" i="8"/>
  <c r="J100" i="8"/>
  <c r="I100" i="8"/>
  <c r="H100" i="8"/>
  <c r="G100" i="8"/>
  <c r="F100" i="8"/>
  <c r="E100" i="8"/>
  <c r="D100" i="8"/>
  <c r="AD98" i="8"/>
  <c r="AC98" i="8"/>
  <c r="AB98" i="8"/>
  <c r="AA98" i="8"/>
  <c r="Z98" i="8"/>
  <c r="Y98" i="8"/>
  <c r="X98" i="8"/>
  <c r="W98" i="8"/>
  <c r="V98" i="8"/>
  <c r="U98" i="8"/>
  <c r="AD96" i="8"/>
  <c r="AC96" i="8"/>
  <c r="AB96" i="8"/>
  <c r="AA96" i="8"/>
  <c r="Z96" i="8"/>
  <c r="Y96" i="8"/>
  <c r="X96" i="8"/>
  <c r="W96" i="8"/>
  <c r="V96" i="8"/>
  <c r="U96" i="8"/>
  <c r="T96" i="8"/>
  <c r="S96" i="8"/>
  <c r="R96" i="8"/>
  <c r="Q96" i="8"/>
  <c r="P96" i="8"/>
  <c r="O96" i="8"/>
  <c r="N96" i="8"/>
  <c r="M96" i="8"/>
  <c r="L96" i="8"/>
  <c r="K96" i="8"/>
  <c r="J96" i="8"/>
  <c r="I96" i="8"/>
  <c r="H96" i="8"/>
  <c r="G96" i="8"/>
  <c r="F96" i="8"/>
  <c r="E96" i="8"/>
  <c r="D96" i="8"/>
  <c r="AD95" i="8"/>
  <c r="AC95" i="8"/>
  <c r="AB95" i="8"/>
  <c r="AA95" i="8"/>
  <c r="Z95" i="8"/>
  <c r="Y95" i="8"/>
  <c r="X95" i="8"/>
  <c r="W95" i="8"/>
  <c r="V95" i="8"/>
  <c r="U95" i="8"/>
  <c r="AD94" i="8"/>
  <c r="AC94" i="8"/>
  <c r="AB94" i="8"/>
  <c r="AA94" i="8"/>
  <c r="Z94" i="8"/>
  <c r="Y94" i="8"/>
  <c r="X94" i="8"/>
  <c r="W94" i="8"/>
  <c r="V94" i="8"/>
  <c r="U94" i="8"/>
  <c r="AD93" i="8"/>
  <c r="AC93" i="8"/>
  <c r="AB93" i="8"/>
  <c r="AA93" i="8"/>
  <c r="Z93" i="8"/>
  <c r="Y93" i="8"/>
  <c r="X93" i="8"/>
  <c r="W93" i="8"/>
  <c r="V93" i="8"/>
  <c r="U93" i="8"/>
  <c r="AD92" i="8"/>
  <c r="Y92" i="8"/>
  <c r="AD91" i="8"/>
  <c r="AC91" i="8"/>
  <c r="AB91" i="8"/>
  <c r="AA91" i="8"/>
  <c r="Z91" i="8"/>
  <c r="Y91" i="8"/>
  <c r="X91" i="8"/>
  <c r="W91" i="8"/>
  <c r="V91" i="8"/>
  <c r="U91" i="8"/>
  <c r="AD90" i="8"/>
  <c r="AC90" i="8"/>
  <c r="AB90" i="8"/>
  <c r="AA90" i="8"/>
  <c r="Z90" i="8"/>
  <c r="Y90" i="8"/>
  <c r="X90" i="8"/>
  <c r="W90" i="8"/>
  <c r="V90" i="8"/>
  <c r="U90" i="8"/>
  <c r="AD89" i="8"/>
  <c r="Y89" i="8"/>
  <c r="T87" i="8"/>
  <c r="S87" i="8"/>
  <c r="R87" i="8"/>
  <c r="Q87" i="8"/>
  <c r="P87" i="8"/>
  <c r="O87" i="8"/>
  <c r="N87" i="8"/>
  <c r="M87" i="8"/>
  <c r="L87" i="8"/>
  <c r="K87" i="8"/>
  <c r="J87" i="8"/>
  <c r="I87" i="8"/>
  <c r="H87" i="8"/>
  <c r="G87" i="8"/>
  <c r="F87" i="8"/>
  <c r="E87" i="8"/>
  <c r="D87" i="8"/>
  <c r="AD86" i="8"/>
  <c r="AC86" i="8"/>
  <c r="AB86" i="8"/>
  <c r="AA86" i="8"/>
  <c r="Z86" i="8"/>
  <c r="Y86" i="8"/>
  <c r="X86" i="8"/>
  <c r="W86" i="8"/>
  <c r="V86" i="8"/>
  <c r="U86" i="8"/>
  <c r="T83" i="8"/>
  <c r="S83" i="8"/>
  <c r="R83" i="8"/>
  <c r="Q83" i="8"/>
  <c r="P83" i="8"/>
  <c r="O83" i="8"/>
  <c r="N83" i="8"/>
  <c r="M83" i="8"/>
  <c r="L83" i="8"/>
  <c r="K83" i="8"/>
  <c r="J83" i="8"/>
  <c r="I83" i="8"/>
  <c r="H83" i="8"/>
  <c r="G83" i="8"/>
  <c r="F83" i="8"/>
  <c r="E83" i="8"/>
  <c r="D83" i="8"/>
  <c r="AD82" i="8"/>
  <c r="Y82" i="8"/>
  <c r="AD81" i="8"/>
  <c r="AC81" i="8"/>
  <c r="AB81" i="8"/>
  <c r="AA81" i="8"/>
  <c r="Z81" i="8"/>
  <c r="Y81" i="8"/>
  <c r="X81" i="8"/>
  <c r="W81" i="8"/>
  <c r="V81" i="8"/>
  <c r="U81" i="8"/>
  <c r="AD80" i="8"/>
  <c r="AC80" i="8"/>
  <c r="AB80" i="8"/>
  <c r="AA80" i="8"/>
  <c r="Z80" i="8"/>
  <c r="Y80" i="8"/>
  <c r="X80" i="8"/>
  <c r="W80" i="8"/>
  <c r="V80" i="8"/>
  <c r="U80" i="8"/>
  <c r="AD79" i="8"/>
  <c r="Y79" i="8"/>
  <c r="AD78" i="8"/>
  <c r="AC78" i="8"/>
  <c r="AB78" i="8"/>
  <c r="AA78" i="8"/>
  <c r="Z78" i="8"/>
  <c r="Y78" i="8"/>
  <c r="X78" i="8"/>
  <c r="W78" i="8"/>
  <c r="V78" i="8"/>
  <c r="U78" i="8"/>
  <c r="AD77" i="8"/>
  <c r="AC77" i="8"/>
  <c r="AB77" i="8"/>
  <c r="AA77" i="8"/>
  <c r="Z77" i="8"/>
  <c r="Y77" i="8"/>
  <c r="X77" i="8"/>
  <c r="W77" i="8"/>
  <c r="V77" i="8"/>
  <c r="U77" i="8"/>
  <c r="AD76" i="8"/>
  <c r="AC76" i="8"/>
  <c r="AB76" i="8"/>
  <c r="AA76" i="8"/>
  <c r="Z76" i="8"/>
  <c r="Y76" i="8"/>
  <c r="X76" i="8"/>
  <c r="W76" i="8"/>
  <c r="V76" i="8"/>
  <c r="U76" i="8"/>
  <c r="AD75" i="8"/>
  <c r="Y75" i="8"/>
  <c r="AD72" i="8"/>
  <c r="AC72" i="8"/>
  <c r="AB72" i="8"/>
  <c r="AA72" i="8"/>
  <c r="Z72" i="8"/>
  <c r="Y72" i="8"/>
  <c r="X72" i="8"/>
  <c r="W72" i="8"/>
  <c r="V72" i="8"/>
  <c r="U72" i="8"/>
  <c r="T72" i="8"/>
  <c r="S72" i="8"/>
  <c r="R72" i="8"/>
  <c r="Q72" i="8"/>
  <c r="P72" i="8"/>
  <c r="O72" i="8"/>
  <c r="N72" i="8"/>
  <c r="M72" i="8"/>
  <c r="L72" i="8"/>
  <c r="K72" i="8"/>
  <c r="J72" i="8"/>
  <c r="I72" i="8"/>
  <c r="H72" i="8"/>
  <c r="G72" i="8"/>
  <c r="F72" i="8"/>
  <c r="E72" i="8"/>
  <c r="D72" i="8"/>
  <c r="AD71" i="8"/>
  <c r="Y71" i="8"/>
  <c r="AD70" i="8"/>
  <c r="Y70" i="8"/>
  <c r="AD69" i="8"/>
  <c r="AC69" i="8"/>
  <c r="AB69" i="8"/>
  <c r="AA69" i="8"/>
  <c r="Z69" i="8"/>
  <c r="Y69" i="8"/>
  <c r="X69" i="8"/>
  <c r="W69" i="8"/>
  <c r="V69" i="8"/>
  <c r="U69" i="8"/>
  <c r="T66" i="8"/>
  <c r="T65" i="8"/>
  <c r="S65" i="8"/>
  <c r="R65" i="8"/>
  <c r="Q65" i="8"/>
  <c r="P65" i="8"/>
  <c r="O65" i="8"/>
  <c r="N65" i="8"/>
  <c r="M65" i="8"/>
  <c r="L65" i="8"/>
  <c r="K65" i="8"/>
  <c r="J65" i="8"/>
  <c r="I65" i="8"/>
  <c r="H65" i="8"/>
  <c r="G65" i="8"/>
  <c r="F65" i="8"/>
  <c r="E65" i="8"/>
  <c r="D65" i="8"/>
  <c r="Y64" i="8"/>
  <c r="U64" i="8"/>
  <c r="T64" i="8"/>
  <c r="S64" i="8"/>
  <c r="R64" i="8"/>
  <c r="Q64" i="8"/>
  <c r="P64" i="8"/>
  <c r="O64" i="8"/>
  <c r="N64" i="8"/>
  <c r="M64" i="8"/>
  <c r="L64" i="8"/>
  <c r="K64" i="8"/>
  <c r="J64" i="8"/>
  <c r="I64" i="8"/>
  <c r="H64" i="8"/>
  <c r="G64" i="8"/>
  <c r="F64" i="8"/>
  <c r="E64" i="8"/>
  <c r="AD63" i="8"/>
  <c r="Y63" i="8"/>
  <c r="T62" i="8"/>
  <c r="S62" i="8"/>
  <c r="R62" i="8"/>
  <c r="Q62" i="8"/>
  <c r="P62" i="8"/>
  <c r="O62" i="8"/>
  <c r="N62" i="8"/>
  <c r="M62" i="8"/>
  <c r="L62" i="8"/>
  <c r="K62" i="8"/>
  <c r="J62" i="8"/>
  <c r="I62" i="8"/>
  <c r="H62" i="8"/>
  <c r="G62" i="8"/>
  <c r="F62" i="8"/>
  <c r="E62" i="8"/>
  <c r="D62" i="8"/>
  <c r="T60" i="8"/>
  <c r="S60" i="8"/>
  <c r="R60" i="8"/>
  <c r="Q60" i="8"/>
  <c r="P60" i="8"/>
  <c r="O60" i="8"/>
  <c r="N60" i="8"/>
  <c r="M60" i="8"/>
  <c r="L60" i="8"/>
  <c r="K60" i="8"/>
  <c r="J60" i="8"/>
  <c r="I60" i="8"/>
  <c r="H60" i="8"/>
  <c r="G60" i="8"/>
  <c r="F60" i="8"/>
  <c r="E60" i="8"/>
  <c r="D60" i="8"/>
  <c r="S59" i="8"/>
  <c r="AD58" i="8"/>
  <c r="Y58" i="8"/>
  <c r="S58" i="8"/>
  <c r="AD57" i="8"/>
  <c r="Y57" i="8"/>
  <c r="S57" i="8"/>
  <c r="AD56" i="8"/>
  <c r="Y56" i="8"/>
  <c r="S56" i="8"/>
  <c r="AD55" i="8"/>
  <c r="Y55" i="8"/>
  <c r="S55" i="8"/>
  <c r="AD54" i="8"/>
  <c r="Y54" i="8"/>
  <c r="S54" i="8"/>
  <c r="AD53" i="8"/>
  <c r="Y53" i="8"/>
  <c r="S53" i="8"/>
  <c r="AD52" i="8"/>
  <c r="Y52" i="8"/>
  <c r="S52" i="8"/>
  <c r="AD51" i="8"/>
  <c r="Y51" i="8"/>
  <c r="S51" i="8"/>
  <c r="AD50" i="8"/>
  <c r="Y50" i="8"/>
  <c r="S50" i="8"/>
  <c r="AD49" i="8"/>
  <c r="Y49" i="8"/>
  <c r="S49" i="8"/>
  <c r="AD48" i="8"/>
  <c r="Y48" i="8"/>
  <c r="S48" i="8"/>
  <c r="AD46" i="8"/>
  <c r="AC46" i="8"/>
  <c r="AB46" i="8"/>
  <c r="AA46" i="8"/>
  <c r="Z46" i="8"/>
  <c r="Y46" i="8"/>
  <c r="X46" i="8"/>
  <c r="W46" i="8"/>
  <c r="V46" i="8"/>
  <c r="U46" i="8"/>
  <c r="T46" i="8"/>
  <c r="S46" i="8"/>
  <c r="R46" i="8"/>
  <c r="Q46" i="8"/>
  <c r="P46" i="8"/>
  <c r="O46" i="8"/>
  <c r="N46" i="8"/>
  <c r="M46" i="8"/>
  <c r="L46" i="8"/>
  <c r="K46" i="8"/>
  <c r="J46" i="8"/>
  <c r="I46" i="8"/>
  <c r="H46" i="8"/>
  <c r="G46" i="8"/>
  <c r="F46" i="8"/>
  <c r="E46" i="8"/>
  <c r="D46" i="8"/>
  <c r="AD45" i="8"/>
  <c r="Y45" i="8"/>
  <c r="S45" i="8"/>
  <c r="AD44" i="8"/>
  <c r="Y44" i="8"/>
  <c r="S44" i="8"/>
  <c r="AD43" i="8"/>
  <c r="Y43" i="8"/>
  <c r="S43" i="8"/>
  <c r="T41" i="8"/>
  <c r="S41" i="8"/>
  <c r="R41" i="8"/>
  <c r="Q41" i="8"/>
  <c r="P41" i="8"/>
  <c r="O41" i="8"/>
  <c r="N41" i="8"/>
  <c r="M41" i="8"/>
  <c r="L41" i="8"/>
  <c r="K41" i="8"/>
  <c r="J41" i="8"/>
  <c r="I41" i="8"/>
  <c r="H41" i="8"/>
  <c r="G41" i="8"/>
  <c r="F41" i="8"/>
  <c r="E41" i="8"/>
  <c r="D41" i="8"/>
  <c r="AD40" i="8"/>
  <c r="Y40" i="8"/>
  <c r="S40" i="8"/>
  <c r="AD39" i="8"/>
  <c r="Y39" i="8"/>
  <c r="S39" i="8"/>
  <c r="AD38" i="8"/>
  <c r="Y38" i="8"/>
  <c r="S38" i="8"/>
  <c r="AD37" i="8"/>
  <c r="Y37" i="8"/>
  <c r="S37" i="8"/>
  <c r="AD36" i="8"/>
  <c r="Y36" i="8"/>
  <c r="S36" i="8"/>
  <c r="AD35" i="8"/>
  <c r="Y35" i="8"/>
  <c r="S35" i="8"/>
  <c r="AD34" i="8"/>
  <c r="Y34" i="8"/>
  <c r="S34" i="8"/>
  <c r="AD33" i="8"/>
  <c r="Y33" i="8"/>
  <c r="S33" i="8"/>
  <c r="AD32" i="8"/>
  <c r="AC32" i="8"/>
  <c r="AB32" i="8"/>
  <c r="AA32" i="8"/>
  <c r="Z32" i="8"/>
  <c r="Y32" i="8"/>
  <c r="X32" i="8"/>
  <c r="W32" i="8"/>
  <c r="V32" i="8"/>
  <c r="U32" i="8"/>
  <c r="S32" i="8"/>
  <c r="AD31" i="8"/>
  <c r="AC31" i="8"/>
  <c r="AB31" i="8"/>
  <c r="AA31" i="8"/>
  <c r="Z31" i="8"/>
  <c r="Y31" i="8"/>
  <c r="X31" i="8"/>
  <c r="W31" i="8"/>
  <c r="V31" i="8"/>
  <c r="U31" i="8"/>
  <c r="T31" i="8"/>
  <c r="S31" i="8"/>
  <c r="R31" i="8"/>
  <c r="Q31" i="8"/>
  <c r="P31" i="8"/>
  <c r="O31" i="8"/>
  <c r="N31" i="8"/>
  <c r="M31" i="8"/>
  <c r="L31" i="8"/>
  <c r="K31" i="8"/>
  <c r="J31" i="8"/>
  <c r="I31" i="8"/>
  <c r="H31" i="8"/>
  <c r="G31" i="8"/>
  <c r="F31" i="8"/>
  <c r="E31" i="8"/>
  <c r="D31" i="8"/>
  <c r="T29" i="8"/>
  <c r="S29" i="8"/>
  <c r="R29" i="8"/>
  <c r="Q29" i="8"/>
  <c r="P29" i="8"/>
  <c r="O29" i="8"/>
  <c r="N29" i="8"/>
  <c r="M29" i="8"/>
  <c r="L29" i="8"/>
  <c r="K29" i="8"/>
  <c r="J29" i="8"/>
  <c r="I29" i="8"/>
  <c r="H29" i="8"/>
  <c r="G29" i="8"/>
  <c r="F29" i="8"/>
  <c r="E29" i="8"/>
  <c r="D29" i="8"/>
  <c r="AD28" i="8"/>
  <c r="Y28" i="8"/>
  <c r="T28" i="8"/>
  <c r="AD27" i="8"/>
  <c r="Y27" i="8"/>
  <c r="T27" i="8"/>
  <c r="AD26" i="8"/>
  <c r="Y26" i="8"/>
  <c r="T26" i="8"/>
  <c r="AD25" i="8"/>
  <c r="Y25" i="8"/>
  <c r="T25" i="8"/>
  <c r="AD24" i="8"/>
  <c r="Y24" i="8"/>
  <c r="T24" i="8"/>
  <c r="AD23" i="8"/>
  <c r="Y23" i="8"/>
  <c r="T23" i="8"/>
  <c r="AD22" i="8"/>
  <c r="Y22" i="8"/>
  <c r="T22" i="8"/>
  <c r="AD21" i="8"/>
  <c r="Y21" i="8"/>
  <c r="T21" i="8"/>
  <c r="T20" i="8"/>
  <c r="AD19" i="8"/>
  <c r="AC19" i="8"/>
  <c r="AB19" i="8"/>
  <c r="AA19" i="8"/>
  <c r="Z19" i="8"/>
  <c r="Y19" i="8"/>
  <c r="X19" i="8"/>
  <c r="W19" i="8"/>
  <c r="V19" i="8"/>
  <c r="U19" i="8"/>
  <c r="T19" i="8"/>
  <c r="T17" i="8"/>
  <c r="S17" i="8"/>
  <c r="R17" i="8"/>
  <c r="Q17" i="8"/>
  <c r="P17" i="8"/>
  <c r="O17" i="8"/>
  <c r="N17" i="8"/>
  <c r="M17" i="8"/>
  <c r="L17" i="8"/>
  <c r="K17" i="8"/>
  <c r="J17" i="8"/>
  <c r="I17" i="8"/>
  <c r="H17" i="8"/>
  <c r="G17" i="8"/>
  <c r="F17" i="8"/>
  <c r="E17" i="8"/>
  <c r="D17" i="8"/>
  <c r="AD16" i="8"/>
  <c r="Y16" i="8"/>
  <c r="T16" i="8"/>
  <c r="T15" i="8"/>
  <c r="AD14" i="8"/>
  <c r="Y14" i="8"/>
  <c r="T14" i="8"/>
  <c r="T13" i="8"/>
  <c r="T12" i="8"/>
  <c r="T10" i="8"/>
  <c r="S10" i="8"/>
  <c r="R10" i="8"/>
  <c r="Q10" i="8"/>
  <c r="P10" i="8"/>
  <c r="O10" i="8"/>
  <c r="N10" i="8"/>
  <c r="M10" i="8"/>
  <c r="L10" i="8"/>
  <c r="K10" i="8"/>
  <c r="J10" i="8"/>
  <c r="I10" i="8"/>
  <c r="H10" i="8"/>
  <c r="G10" i="8"/>
  <c r="F10" i="8"/>
  <c r="E10" i="8"/>
  <c r="D10" i="8"/>
  <c r="T9" i="8"/>
  <c r="T8" i="8"/>
  <c r="T7" i="8"/>
  <c r="J161" i="6"/>
  <c r="K161" i="6" s="1"/>
  <c r="J160" i="6"/>
  <c r="K160" i="6" s="1"/>
  <c r="J159" i="6"/>
  <c r="K159" i="6" s="1"/>
  <c r="J158" i="6"/>
  <c r="K158" i="6" s="1"/>
  <c r="J157" i="6"/>
  <c r="K157" i="6" s="1"/>
  <c r="J156" i="6"/>
  <c r="K156" i="6" s="1"/>
  <c r="J155" i="6"/>
  <c r="K155" i="6" s="1"/>
  <c r="J154" i="6"/>
  <c r="K154" i="6" s="1"/>
  <c r="J153" i="6"/>
  <c r="K153" i="6" s="1"/>
  <c r="J152" i="6"/>
  <c r="K152" i="6" s="1"/>
  <c r="J151" i="6"/>
  <c r="K151" i="6" s="1"/>
  <c r="J150" i="6"/>
  <c r="K150" i="6" s="1"/>
  <c r="J149" i="6"/>
  <c r="K149" i="6" s="1"/>
  <c r="J148" i="6"/>
  <c r="K148" i="6" s="1"/>
  <c r="J147" i="6"/>
  <c r="K147" i="6" s="1"/>
  <c r="J146" i="6"/>
  <c r="K146" i="6" s="1"/>
  <c r="J145" i="6"/>
  <c r="K145" i="6" s="1"/>
  <c r="J144" i="6"/>
  <c r="K144" i="6" s="1"/>
  <c r="J143" i="6"/>
  <c r="K143" i="6" s="1"/>
  <c r="J142" i="6"/>
  <c r="K142" i="6" s="1"/>
  <c r="J141" i="6"/>
  <c r="K141" i="6" s="1"/>
  <c r="J140" i="6"/>
  <c r="K140" i="6" s="1"/>
  <c r="J139" i="6"/>
  <c r="K139" i="6" s="1"/>
  <c r="J138" i="6"/>
  <c r="K138" i="6" s="1"/>
  <c r="J137" i="6"/>
  <c r="K137" i="6" s="1"/>
  <c r="J136" i="6"/>
  <c r="K136" i="6" s="1"/>
  <c r="J135" i="6"/>
  <c r="K135" i="6" s="1"/>
  <c r="J134" i="6"/>
  <c r="K134" i="6" s="1"/>
  <c r="J133" i="6"/>
  <c r="K133" i="6" s="1"/>
  <c r="J132" i="6"/>
  <c r="K132" i="6" s="1"/>
  <c r="J131" i="6"/>
  <c r="K131" i="6" s="1"/>
  <c r="J130" i="6"/>
  <c r="K130" i="6" s="1"/>
  <c r="J129" i="6"/>
  <c r="K129" i="6" s="1"/>
  <c r="J128" i="6"/>
  <c r="K128" i="6" s="1"/>
  <c r="J127" i="6"/>
  <c r="K127" i="6" s="1"/>
  <c r="J126" i="6"/>
  <c r="K126" i="6" s="1"/>
  <c r="R122" i="6"/>
  <c r="Q122" i="6"/>
  <c r="P122" i="6"/>
  <c r="O122" i="6"/>
  <c r="N122" i="6"/>
  <c r="M122" i="6"/>
  <c r="L122" i="6"/>
  <c r="K122" i="6"/>
  <c r="J122" i="6"/>
  <c r="I122" i="6"/>
  <c r="H122" i="6"/>
  <c r="G122" i="6"/>
  <c r="F122" i="6"/>
  <c r="E122" i="6"/>
  <c r="D122" i="6"/>
  <c r="R121" i="6"/>
  <c r="Q121" i="6"/>
  <c r="P121" i="6"/>
  <c r="O121" i="6"/>
  <c r="N121" i="6"/>
  <c r="M121" i="6"/>
  <c r="L121" i="6"/>
  <c r="K121" i="6"/>
  <c r="J121" i="6"/>
  <c r="I121" i="6"/>
  <c r="H121" i="6"/>
  <c r="G121" i="6"/>
  <c r="F121" i="6"/>
  <c r="E121" i="6"/>
  <c r="D121" i="6"/>
  <c r="AD119" i="6"/>
  <c r="AC119" i="6"/>
  <c r="AB119" i="6"/>
  <c r="AA119" i="6"/>
  <c r="Z119" i="6"/>
  <c r="Y119" i="6"/>
  <c r="X119" i="6"/>
  <c r="W119" i="6"/>
  <c r="V119" i="6"/>
  <c r="U119" i="6"/>
  <c r="T119" i="6"/>
  <c r="S119" i="6"/>
  <c r="R119" i="6"/>
  <c r="Q119" i="6"/>
  <c r="P119" i="6"/>
  <c r="O119" i="6"/>
  <c r="N119" i="6"/>
  <c r="M119" i="6"/>
  <c r="L119" i="6"/>
  <c r="K119" i="6"/>
  <c r="J119" i="6"/>
  <c r="I119" i="6"/>
  <c r="H119" i="6"/>
  <c r="G119" i="6"/>
  <c r="F119" i="6"/>
  <c r="E119" i="6"/>
  <c r="D119" i="6"/>
  <c r="AD118" i="6"/>
  <c r="AC118" i="6"/>
  <c r="AB118" i="6"/>
  <c r="AA118" i="6"/>
  <c r="Z118" i="6"/>
  <c r="Y118" i="6"/>
  <c r="X118" i="6"/>
  <c r="W118" i="6"/>
  <c r="V118" i="6"/>
  <c r="U118" i="6"/>
  <c r="T118" i="6"/>
  <c r="S118" i="6"/>
  <c r="R118" i="6"/>
  <c r="Q118" i="6"/>
  <c r="P118" i="6"/>
  <c r="O118" i="6"/>
  <c r="N118" i="6"/>
  <c r="M118" i="6"/>
  <c r="L118" i="6"/>
  <c r="K118" i="6"/>
  <c r="J118" i="6"/>
  <c r="I118" i="6"/>
  <c r="H118" i="6"/>
  <c r="G118" i="6"/>
  <c r="F118" i="6"/>
  <c r="E118" i="6"/>
  <c r="D118" i="6"/>
  <c r="AD117" i="6"/>
  <c r="AC117" i="6"/>
  <c r="AB117" i="6"/>
  <c r="AA117" i="6"/>
  <c r="Z117" i="6"/>
  <c r="Y117" i="6"/>
  <c r="X117" i="6"/>
  <c r="W117" i="6"/>
  <c r="V117" i="6"/>
  <c r="U117" i="6"/>
  <c r="T117" i="6"/>
  <c r="S117" i="6"/>
  <c r="R117" i="6"/>
  <c r="Q117" i="6"/>
  <c r="P117" i="6"/>
  <c r="O117" i="6"/>
  <c r="N117" i="6"/>
  <c r="M117" i="6"/>
  <c r="L117" i="6"/>
  <c r="K117" i="6"/>
  <c r="J117" i="6"/>
  <c r="I117" i="6"/>
  <c r="H117" i="6"/>
  <c r="G117" i="6"/>
  <c r="F117" i="6"/>
  <c r="E117" i="6"/>
  <c r="D117" i="6"/>
  <c r="AD116" i="6"/>
  <c r="AC116" i="6"/>
  <c r="AB116" i="6"/>
  <c r="AA116" i="6"/>
  <c r="Z116" i="6"/>
  <c r="Y116" i="6"/>
  <c r="X116" i="6"/>
  <c r="W116" i="6"/>
  <c r="V116" i="6"/>
  <c r="U116" i="6"/>
  <c r="T116" i="6"/>
  <c r="S116" i="6"/>
  <c r="R116" i="6"/>
  <c r="Q116" i="6"/>
  <c r="P116" i="6"/>
  <c r="O116" i="6"/>
  <c r="N116" i="6"/>
  <c r="M116" i="6"/>
  <c r="L116" i="6"/>
  <c r="K116" i="6"/>
  <c r="J116" i="6"/>
  <c r="I116" i="6"/>
  <c r="H116" i="6"/>
  <c r="G116" i="6"/>
  <c r="F116" i="6"/>
  <c r="E116" i="6"/>
  <c r="D116" i="6"/>
  <c r="R112" i="6"/>
  <c r="Q112" i="6"/>
  <c r="P112" i="6"/>
  <c r="O112" i="6"/>
  <c r="N112" i="6"/>
  <c r="M112" i="6"/>
  <c r="L112" i="6"/>
  <c r="K112" i="6"/>
  <c r="J112" i="6"/>
  <c r="I112" i="6"/>
  <c r="H112" i="6"/>
  <c r="G112" i="6"/>
  <c r="F112" i="6"/>
  <c r="E112" i="6"/>
  <c r="D112" i="6"/>
  <c r="AD109" i="6"/>
  <c r="AC109" i="6"/>
  <c r="AB109" i="6"/>
  <c r="AA109" i="6"/>
  <c r="Z109" i="6"/>
  <c r="Y109" i="6"/>
  <c r="X109" i="6"/>
  <c r="W109" i="6"/>
  <c r="V109" i="6"/>
  <c r="U109" i="6"/>
  <c r="T109" i="6"/>
  <c r="S109" i="6"/>
  <c r="R109" i="6"/>
  <c r="Q109" i="6"/>
  <c r="P109" i="6"/>
  <c r="O109" i="6"/>
  <c r="N109" i="6"/>
  <c r="M109" i="6"/>
  <c r="L109" i="6"/>
  <c r="K109" i="6"/>
  <c r="J109" i="6"/>
  <c r="I109" i="6"/>
  <c r="H109" i="6"/>
  <c r="G109" i="6"/>
  <c r="F109" i="6"/>
  <c r="E109" i="6"/>
  <c r="D109" i="6"/>
  <c r="AD106" i="6"/>
  <c r="AC106" i="6"/>
  <c r="AB106" i="6"/>
  <c r="AA106" i="6"/>
  <c r="Z106" i="6"/>
  <c r="Y106" i="6"/>
  <c r="X106" i="6"/>
  <c r="W106" i="6"/>
  <c r="V106" i="6"/>
  <c r="U106" i="6"/>
  <c r="T106" i="6"/>
  <c r="S106" i="6"/>
  <c r="R106" i="6"/>
  <c r="Q106" i="6"/>
  <c r="P106" i="6"/>
  <c r="O106" i="6"/>
  <c r="N106" i="6"/>
  <c r="M106" i="6"/>
  <c r="L106" i="6"/>
  <c r="K106" i="6"/>
  <c r="J106" i="6"/>
  <c r="I106" i="6"/>
  <c r="H106" i="6"/>
  <c r="G106" i="6"/>
  <c r="F106" i="6"/>
  <c r="E106" i="6"/>
  <c r="D106" i="6"/>
  <c r="AD97" i="6"/>
  <c r="AC97" i="6"/>
  <c r="AB97" i="6"/>
  <c r="AA97" i="6"/>
  <c r="Z97" i="6"/>
  <c r="Y97" i="6"/>
  <c r="X97" i="6"/>
  <c r="W97" i="6"/>
  <c r="V97" i="6"/>
  <c r="U97" i="6"/>
  <c r="T97" i="6"/>
  <c r="S97" i="6"/>
  <c r="R97" i="6"/>
  <c r="Q97" i="6"/>
  <c r="P97" i="6"/>
  <c r="O97" i="6"/>
  <c r="N97" i="6"/>
  <c r="M97" i="6"/>
  <c r="L97" i="6"/>
  <c r="K97" i="6"/>
  <c r="J97" i="6"/>
  <c r="I97" i="6"/>
  <c r="H97" i="6"/>
  <c r="G97" i="6"/>
  <c r="F97" i="6"/>
  <c r="E97" i="6"/>
  <c r="D97" i="6"/>
  <c r="AD91" i="6"/>
  <c r="AC91" i="6"/>
  <c r="AB91" i="6"/>
  <c r="AA91" i="6"/>
  <c r="Z91" i="6"/>
  <c r="Y91" i="6"/>
  <c r="X91" i="6"/>
  <c r="W91" i="6"/>
  <c r="V91" i="6"/>
  <c r="U91" i="6"/>
  <c r="T91" i="6"/>
  <c r="S91" i="6"/>
  <c r="R91" i="6"/>
  <c r="Q91" i="6"/>
  <c r="P91" i="6"/>
  <c r="O91" i="6"/>
  <c r="N91" i="6"/>
  <c r="M91" i="6"/>
  <c r="L91" i="6"/>
  <c r="K91" i="6"/>
  <c r="J91" i="6"/>
  <c r="I91" i="6"/>
  <c r="H91" i="6"/>
  <c r="G91" i="6"/>
  <c r="F91" i="6"/>
  <c r="E91" i="6"/>
  <c r="D91" i="6"/>
  <c r="AD83" i="6"/>
  <c r="AC83" i="6"/>
  <c r="AB83" i="6"/>
  <c r="AA83" i="6"/>
  <c r="Z83" i="6"/>
  <c r="Y83" i="6"/>
  <c r="X83" i="6"/>
  <c r="W83" i="6"/>
  <c r="V83" i="6"/>
  <c r="U83" i="6"/>
  <c r="T83" i="6"/>
  <c r="S83" i="6"/>
  <c r="R83" i="6"/>
  <c r="Q83" i="6"/>
  <c r="P83" i="6"/>
  <c r="O83" i="6"/>
  <c r="N83" i="6"/>
  <c r="M83" i="6"/>
  <c r="L83" i="6"/>
  <c r="K83" i="6"/>
  <c r="J83" i="6"/>
  <c r="I83" i="6"/>
  <c r="H83" i="6"/>
  <c r="G83" i="6"/>
  <c r="F83" i="6"/>
  <c r="E83" i="6"/>
  <c r="D83" i="6"/>
  <c r="AD76" i="6"/>
  <c r="AC76" i="6"/>
  <c r="AB76" i="6"/>
  <c r="AA76" i="6"/>
  <c r="Z76" i="6"/>
  <c r="Y76" i="6"/>
  <c r="X76" i="6"/>
  <c r="W76" i="6"/>
  <c r="V76" i="6"/>
  <c r="U76" i="6"/>
  <c r="T76" i="6"/>
  <c r="S76" i="6"/>
  <c r="R76" i="6"/>
  <c r="Q76" i="6"/>
  <c r="P76" i="6"/>
  <c r="O76" i="6"/>
  <c r="N76" i="6"/>
  <c r="M76" i="6"/>
  <c r="L76" i="6"/>
  <c r="K76" i="6"/>
  <c r="J76" i="6"/>
  <c r="I76" i="6"/>
  <c r="H76" i="6"/>
  <c r="G76" i="6"/>
  <c r="F76" i="6"/>
  <c r="E76" i="6"/>
  <c r="D76" i="6"/>
  <c r="AD75" i="6"/>
  <c r="AC75" i="6"/>
  <c r="AB75" i="6"/>
  <c r="AA75" i="6"/>
  <c r="Z75" i="6"/>
  <c r="Y75" i="6"/>
  <c r="X75" i="6"/>
  <c r="W75" i="6"/>
  <c r="V75" i="6"/>
  <c r="U75" i="6"/>
  <c r="T75" i="6"/>
  <c r="S75" i="6"/>
  <c r="R75" i="6"/>
  <c r="Q75" i="6"/>
  <c r="P75" i="6"/>
  <c r="O75" i="6"/>
  <c r="N75" i="6"/>
  <c r="M75" i="6"/>
  <c r="L75" i="6"/>
  <c r="K75" i="6"/>
  <c r="J75" i="6"/>
  <c r="I75" i="6"/>
  <c r="H75" i="6"/>
  <c r="G75" i="6"/>
  <c r="F75" i="6"/>
  <c r="E75" i="6"/>
  <c r="AD73" i="6"/>
  <c r="AC73" i="6"/>
  <c r="AB73" i="6"/>
  <c r="AA73" i="6"/>
  <c r="Z73" i="6"/>
  <c r="Y73" i="6"/>
  <c r="X73" i="6"/>
  <c r="W73" i="6"/>
  <c r="V73" i="6"/>
  <c r="U73" i="6"/>
  <c r="T73" i="6"/>
  <c r="S73" i="6"/>
  <c r="R73" i="6"/>
  <c r="Q73" i="6"/>
  <c r="P73" i="6"/>
  <c r="O73" i="6"/>
  <c r="N73" i="6"/>
  <c r="M73" i="6"/>
  <c r="L73" i="6"/>
  <c r="K73" i="6"/>
  <c r="J73" i="6"/>
  <c r="I73" i="6"/>
  <c r="H73" i="6"/>
  <c r="G73" i="6"/>
  <c r="F73" i="6"/>
  <c r="E73" i="6"/>
  <c r="D73" i="6"/>
  <c r="AD71" i="6"/>
  <c r="AC71" i="6"/>
  <c r="AB71" i="6"/>
  <c r="AA71" i="6"/>
  <c r="Z71" i="6"/>
  <c r="Y71" i="6"/>
  <c r="X71" i="6"/>
  <c r="W71" i="6"/>
  <c r="V71" i="6"/>
  <c r="U71" i="6"/>
  <c r="T71" i="6"/>
  <c r="S71" i="6"/>
  <c r="R71" i="6"/>
  <c r="Q71" i="6"/>
  <c r="P71" i="6"/>
  <c r="O71" i="6"/>
  <c r="N71" i="6"/>
  <c r="M71" i="6"/>
  <c r="L71" i="6"/>
  <c r="K71" i="6"/>
  <c r="J71" i="6"/>
  <c r="I71" i="6"/>
  <c r="H71" i="6"/>
  <c r="G71" i="6"/>
  <c r="F71" i="6"/>
  <c r="E71" i="6"/>
  <c r="D71" i="6"/>
  <c r="AD57" i="6"/>
  <c r="AC57" i="6"/>
  <c r="AB57" i="6"/>
  <c r="AA57" i="6"/>
  <c r="Z57" i="6"/>
  <c r="Y57" i="6"/>
  <c r="X57" i="6"/>
  <c r="W57" i="6"/>
  <c r="V57" i="6"/>
  <c r="U57" i="6"/>
  <c r="T57" i="6"/>
  <c r="S57" i="6"/>
  <c r="R57" i="6"/>
  <c r="Q57" i="6"/>
  <c r="P57" i="6"/>
  <c r="O57" i="6"/>
  <c r="N57" i="6"/>
  <c r="M57" i="6"/>
  <c r="L57" i="6"/>
  <c r="K57" i="6"/>
  <c r="J57" i="6"/>
  <c r="I57" i="6"/>
  <c r="H57" i="6"/>
  <c r="G57" i="6"/>
  <c r="F57" i="6"/>
  <c r="E57" i="6"/>
  <c r="D57" i="6"/>
  <c r="AD50" i="6"/>
  <c r="AC50" i="6"/>
  <c r="AB50" i="6"/>
  <c r="AA50" i="6"/>
  <c r="Z50" i="6"/>
  <c r="Y50" i="6"/>
  <c r="X50" i="6"/>
  <c r="W50" i="6"/>
  <c r="V50" i="6"/>
  <c r="U50" i="6"/>
  <c r="T50" i="6"/>
  <c r="S50" i="6"/>
  <c r="R50" i="6"/>
  <c r="Q50" i="6"/>
  <c r="P50" i="6"/>
  <c r="O50" i="6"/>
  <c r="N50" i="6"/>
  <c r="M50" i="6"/>
  <c r="L50" i="6"/>
  <c r="K50" i="6"/>
  <c r="J50" i="6"/>
  <c r="I50" i="6"/>
  <c r="H50" i="6"/>
  <c r="G50" i="6"/>
  <c r="F50" i="6"/>
  <c r="E50" i="6"/>
  <c r="D50" i="6"/>
  <c r="AD26" i="6"/>
  <c r="AC26" i="6"/>
  <c r="AB26" i="6"/>
  <c r="AA26" i="6"/>
  <c r="Z26" i="6"/>
  <c r="Y26" i="6"/>
  <c r="X26" i="6"/>
  <c r="W26" i="6"/>
  <c r="V26" i="6"/>
  <c r="U26" i="6"/>
  <c r="T26" i="6"/>
  <c r="S26" i="6"/>
  <c r="R26" i="6"/>
  <c r="Q26" i="6"/>
  <c r="P26" i="6"/>
  <c r="O26" i="6"/>
  <c r="N26" i="6"/>
  <c r="M26" i="6"/>
  <c r="L26" i="6"/>
  <c r="K26" i="6"/>
  <c r="J26" i="6"/>
  <c r="I26" i="6"/>
  <c r="H26" i="6"/>
  <c r="G26" i="6"/>
  <c r="F26" i="6"/>
  <c r="E26" i="6"/>
  <c r="D26" i="6"/>
  <c r="AD16" i="6"/>
  <c r="AC16" i="6"/>
  <c r="AB16" i="6"/>
  <c r="AA16" i="6"/>
  <c r="Z16" i="6"/>
  <c r="Y16" i="6"/>
  <c r="X16" i="6"/>
  <c r="W16" i="6"/>
  <c r="V16" i="6"/>
  <c r="U16" i="6"/>
  <c r="T16" i="6"/>
  <c r="S16" i="6"/>
  <c r="R16" i="6"/>
  <c r="Q16" i="6"/>
  <c r="P16" i="6"/>
  <c r="O16" i="6"/>
  <c r="N16" i="6"/>
  <c r="M16" i="6"/>
  <c r="L16" i="6"/>
  <c r="K16" i="6"/>
  <c r="J16" i="6"/>
  <c r="I16" i="6"/>
  <c r="H16" i="6"/>
  <c r="G16" i="6"/>
  <c r="F16" i="6"/>
  <c r="E16" i="6"/>
  <c r="D16" i="6"/>
  <c r="AD9" i="6"/>
  <c r="AC9" i="6"/>
  <c r="AB9" i="6"/>
  <c r="AA9" i="6"/>
  <c r="Z9" i="6"/>
  <c r="Y9" i="6"/>
  <c r="X9" i="6"/>
  <c r="W9" i="6"/>
  <c r="V9" i="6"/>
  <c r="U9" i="6"/>
  <c r="T9" i="6"/>
  <c r="S9" i="6"/>
  <c r="R9" i="6"/>
  <c r="Q9" i="6"/>
  <c r="P9" i="6"/>
  <c r="O9" i="6"/>
  <c r="N9" i="6"/>
  <c r="M9" i="6"/>
  <c r="L9" i="6"/>
  <c r="K9" i="6"/>
  <c r="J9" i="6"/>
  <c r="I9" i="6"/>
  <c r="H9" i="6"/>
  <c r="G9" i="6"/>
  <c r="F9" i="6"/>
  <c r="E9" i="6"/>
  <c r="D9" i="6"/>
  <c r="E156" i="4"/>
  <c r="E157" i="4" s="1"/>
  <c r="E156" i="4" a="1"/>
  <c r="D156" i="4" a="1"/>
  <c r="D156" i="4" s="1"/>
  <c r="D157" i="4" s="1"/>
  <c r="E151" i="4"/>
  <c r="D151" i="4"/>
  <c r="E146" i="4"/>
  <c r="D146" i="4"/>
  <c r="E145" i="4"/>
  <c r="D145" i="4"/>
  <c r="E144" i="4"/>
  <c r="D144" i="4"/>
  <c r="D143" i="4"/>
  <c r="E142" i="4"/>
  <c r="D142" i="4"/>
  <c r="M138" i="4"/>
  <c r="I138" i="4"/>
  <c r="J138" i="4" s="1"/>
  <c r="M137" i="4"/>
  <c r="I137" i="4"/>
  <c r="J137" i="4" s="1"/>
  <c r="M136" i="4"/>
  <c r="I136" i="4"/>
  <c r="J136" i="4" s="1"/>
  <c r="M135" i="4"/>
  <c r="I135" i="4"/>
  <c r="J135" i="4" s="1"/>
  <c r="M134" i="4"/>
  <c r="I134" i="4"/>
  <c r="J134" i="4" s="1"/>
  <c r="M133" i="4"/>
  <c r="I133" i="4"/>
  <c r="J133" i="4" s="1"/>
  <c r="M132" i="4"/>
  <c r="I132" i="4"/>
  <c r="J132" i="4" s="1"/>
  <c r="M131" i="4"/>
  <c r="I131" i="4"/>
  <c r="J131" i="4" s="1"/>
  <c r="M130" i="4"/>
  <c r="I130" i="4"/>
  <c r="J130" i="4" s="1"/>
  <c r="M129" i="4"/>
  <c r="I129" i="4"/>
  <c r="J129" i="4" s="1"/>
  <c r="M128" i="4"/>
  <c r="I128" i="4"/>
  <c r="J128" i="4" s="1"/>
  <c r="M127" i="4"/>
  <c r="I127" i="4"/>
  <c r="J127" i="4" s="1"/>
  <c r="M126" i="4"/>
  <c r="I126" i="4"/>
  <c r="J126" i="4" s="1"/>
  <c r="M125" i="4"/>
  <c r="I125" i="4"/>
  <c r="J125" i="4" s="1"/>
  <c r="T121" i="4"/>
  <c r="S121" i="4"/>
  <c r="R121" i="4"/>
  <c r="Q121" i="4"/>
  <c r="P121" i="4"/>
  <c r="O121" i="4"/>
  <c r="N121" i="4"/>
  <c r="M121" i="4"/>
  <c r="L121" i="4"/>
  <c r="K121" i="4"/>
  <c r="J121" i="4"/>
  <c r="I121" i="4"/>
  <c r="H121" i="4"/>
  <c r="G121" i="4"/>
  <c r="F121" i="4"/>
  <c r="E121" i="4"/>
  <c r="D121" i="4"/>
  <c r="AD120" i="4"/>
  <c r="AC120" i="4"/>
  <c r="AB120" i="4"/>
  <c r="AA120" i="4"/>
  <c r="Z120" i="4"/>
  <c r="Y120" i="4"/>
  <c r="X120" i="4"/>
  <c r="W120" i="4"/>
  <c r="V120" i="4"/>
  <c r="U120" i="4"/>
  <c r="T120" i="4"/>
  <c r="S120" i="4"/>
  <c r="R120" i="4"/>
  <c r="Q120" i="4"/>
  <c r="P120" i="4"/>
  <c r="O120" i="4"/>
  <c r="N120" i="4"/>
  <c r="M120" i="4"/>
  <c r="L120" i="4"/>
  <c r="K120" i="4"/>
  <c r="J120" i="4"/>
  <c r="I120" i="4"/>
  <c r="H120" i="4"/>
  <c r="G120" i="4"/>
  <c r="F120" i="4"/>
  <c r="E120" i="4"/>
  <c r="D120" i="4"/>
  <c r="AD118" i="4"/>
  <c r="AC118" i="4"/>
  <c r="AB118" i="4"/>
  <c r="AA118" i="4"/>
  <c r="Z118" i="4"/>
  <c r="Y118" i="4"/>
  <c r="X118" i="4"/>
  <c r="W118" i="4"/>
  <c r="V118" i="4"/>
  <c r="U118" i="4"/>
  <c r="T118" i="4"/>
  <c r="S118" i="4"/>
  <c r="R118" i="4"/>
  <c r="Q118" i="4"/>
  <c r="P118" i="4"/>
  <c r="O118" i="4"/>
  <c r="N118" i="4"/>
  <c r="M118" i="4"/>
  <c r="L118" i="4"/>
  <c r="K118" i="4"/>
  <c r="J118" i="4"/>
  <c r="I118" i="4"/>
  <c r="H118" i="4"/>
  <c r="G118" i="4"/>
  <c r="F118" i="4"/>
  <c r="E118" i="4"/>
  <c r="D118" i="4"/>
  <c r="Y117" i="4"/>
  <c r="U117" i="4"/>
  <c r="T117" i="4"/>
  <c r="S117" i="4"/>
  <c r="R117" i="4"/>
  <c r="Q117" i="4"/>
  <c r="P117" i="4"/>
  <c r="O117" i="4"/>
  <c r="N117" i="4"/>
  <c r="M117" i="4"/>
  <c r="L117" i="4"/>
  <c r="K117" i="4"/>
  <c r="J117" i="4"/>
  <c r="I117" i="4"/>
  <c r="H117" i="4"/>
  <c r="G117" i="4"/>
  <c r="F117" i="4"/>
  <c r="E117" i="4"/>
  <c r="D117" i="4"/>
  <c r="Y116" i="4"/>
  <c r="U116" i="4"/>
  <c r="T116" i="4"/>
  <c r="S116" i="4"/>
  <c r="R116" i="4"/>
  <c r="Q116" i="4"/>
  <c r="P116" i="4"/>
  <c r="O116" i="4"/>
  <c r="N116" i="4"/>
  <c r="M116" i="4"/>
  <c r="L116" i="4"/>
  <c r="K116" i="4"/>
  <c r="J116" i="4"/>
  <c r="I116" i="4"/>
  <c r="H116" i="4"/>
  <c r="G116" i="4"/>
  <c r="F116" i="4"/>
  <c r="E116" i="4"/>
  <c r="D116" i="4"/>
  <c r="AD115" i="4"/>
  <c r="AC115" i="4"/>
  <c r="AB115" i="4"/>
  <c r="AA115" i="4"/>
  <c r="Z115" i="4"/>
  <c r="Y115" i="4"/>
  <c r="X115" i="4"/>
  <c r="W115" i="4"/>
  <c r="V115" i="4"/>
  <c r="U115" i="4"/>
  <c r="T115" i="4"/>
  <c r="S115" i="4"/>
  <c r="R115" i="4"/>
  <c r="Q115" i="4"/>
  <c r="P115" i="4"/>
  <c r="O115" i="4"/>
  <c r="N115" i="4"/>
  <c r="M115" i="4"/>
  <c r="L115" i="4"/>
  <c r="K115" i="4"/>
  <c r="J115" i="4"/>
  <c r="I115" i="4"/>
  <c r="H115" i="4"/>
  <c r="G115" i="4"/>
  <c r="F115" i="4"/>
  <c r="E115" i="4"/>
  <c r="D115" i="4"/>
  <c r="U111" i="4"/>
  <c r="T111" i="4"/>
  <c r="S111" i="4"/>
  <c r="R111" i="4"/>
  <c r="Q111" i="4"/>
  <c r="P111" i="4"/>
  <c r="O111" i="4"/>
  <c r="N111" i="4"/>
  <c r="M111" i="4"/>
  <c r="L111" i="4"/>
  <c r="K111" i="4"/>
  <c r="J111" i="4"/>
  <c r="I111" i="4"/>
  <c r="H111" i="4"/>
  <c r="G111" i="4"/>
  <c r="F111" i="4"/>
  <c r="E111" i="4"/>
  <c r="D111" i="4"/>
  <c r="T108" i="4"/>
  <c r="S108" i="4"/>
  <c r="R108" i="4"/>
  <c r="Q108" i="4"/>
  <c r="P108" i="4"/>
  <c r="O108" i="4"/>
  <c r="N108" i="4"/>
  <c r="M108" i="4"/>
  <c r="L108" i="4"/>
  <c r="K108" i="4"/>
  <c r="J108" i="4"/>
  <c r="I108" i="4"/>
  <c r="H108" i="4"/>
  <c r="G108" i="4"/>
  <c r="F108" i="4"/>
  <c r="E108" i="4"/>
  <c r="D108" i="4"/>
  <c r="U107" i="4"/>
  <c r="U108" i="4" s="1"/>
  <c r="AD105" i="4"/>
  <c r="AC105" i="4"/>
  <c r="AB105" i="4"/>
  <c r="AA105" i="4"/>
  <c r="Z105" i="4"/>
  <c r="Y105" i="4"/>
  <c r="X105" i="4"/>
  <c r="W105" i="4"/>
  <c r="V105" i="4"/>
  <c r="U105" i="4"/>
  <c r="T105" i="4"/>
  <c r="S105" i="4"/>
  <c r="R105" i="4"/>
  <c r="Q105" i="4"/>
  <c r="P105" i="4"/>
  <c r="O105" i="4"/>
  <c r="N105" i="4"/>
  <c r="M105" i="4"/>
  <c r="L105" i="4"/>
  <c r="K105" i="4"/>
  <c r="J105" i="4"/>
  <c r="I105" i="4"/>
  <c r="H105" i="4"/>
  <c r="G105" i="4"/>
  <c r="F105" i="4"/>
  <c r="E105" i="4"/>
  <c r="D105" i="4"/>
  <c r="AD104" i="4"/>
  <c r="Y104" i="4"/>
  <c r="X104" i="4"/>
  <c r="W104" i="4"/>
  <c r="V104" i="4"/>
  <c r="U104" i="4"/>
  <c r="AD103" i="4"/>
  <c r="AC103" i="4"/>
  <c r="AB103" i="4"/>
  <c r="AA103" i="4"/>
  <c r="Z103" i="4"/>
  <c r="Y103" i="4"/>
  <c r="X103" i="4"/>
  <c r="W103" i="4"/>
  <c r="V103" i="4"/>
  <c r="U103" i="4"/>
  <c r="AD102" i="4"/>
  <c r="AC102" i="4"/>
  <c r="AB102" i="4"/>
  <c r="AA102" i="4"/>
  <c r="Z102" i="4"/>
  <c r="Y102" i="4"/>
  <c r="X102" i="4"/>
  <c r="W102" i="4"/>
  <c r="V102" i="4"/>
  <c r="U102" i="4"/>
  <c r="AD101" i="4"/>
  <c r="AC101" i="4"/>
  <c r="AB101" i="4"/>
  <c r="AA101" i="4"/>
  <c r="Z101" i="4"/>
  <c r="Y101" i="4"/>
  <c r="X101" i="4"/>
  <c r="W101" i="4"/>
  <c r="V101" i="4"/>
  <c r="U101" i="4"/>
  <c r="AD100" i="4"/>
  <c r="AC100" i="4"/>
  <c r="AB100" i="4"/>
  <c r="AA100" i="4"/>
  <c r="Z100" i="4"/>
  <c r="Y100" i="4"/>
  <c r="X100" i="4"/>
  <c r="W100" i="4"/>
  <c r="V100" i="4"/>
  <c r="U100" i="4"/>
  <c r="AD99" i="4"/>
  <c r="AC99" i="4"/>
  <c r="AB99" i="4"/>
  <c r="AA99" i="4"/>
  <c r="Z99" i="4"/>
  <c r="Y99" i="4"/>
  <c r="X99" i="4"/>
  <c r="W99" i="4"/>
  <c r="V99" i="4"/>
  <c r="U99" i="4"/>
  <c r="AD97" i="4"/>
  <c r="AC97" i="4"/>
  <c r="AB97" i="4"/>
  <c r="AA97" i="4"/>
  <c r="Z97" i="4"/>
  <c r="Y97" i="4"/>
  <c r="X97" i="4"/>
  <c r="W97" i="4"/>
  <c r="V97" i="4"/>
  <c r="U97" i="4"/>
  <c r="T97" i="4"/>
  <c r="S97" i="4"/>
  <c r="R97" i="4"/>
  <c r="Q97" i="4"/>
  <c r="P97" i="4"/>
  <c r="O97" i="4"/>
  <c r="N97" i="4"/>
  <c r="M97" i="4"/>
  <c r="L97" i="4"/>
  <c r="K97" i="4"/>
  <c r="J97" i="4"/>
  <c r="I97" i="4"/>
  <c r="H97" i="4"/>
  <c r="G97" i="4"/>
  <c r="F97" i="4"/>
  <c r="E97" i="4"/>
  <c r="D97" i="4"/>
  <c r="AD96" i="4"/>
  <c r="AC96" i="4"/>
  <c r="AB96" i="4"/>
  <c r="AA96" i="4"/>
  <c r="Z96" i="4"/>
  <c r="Y96" i="4"/>
  <c r="X96" i="4"/>
  <c r="W96" i="4"/>
  <c r="V96" i="4"/>
  <c r="U96" i="4"/>
  <c r="AD95" i="4"/>
  <c r="AC95" i="4"/>
  <c r="AB95" i="4"/>
  <c r="AA95" i="4"/>
  <c r="Z95" i="4"/>
  <c r="Y95" i="4"/>
  <c r="X95" i="4"/>
  <c r="W95" i="4"/>
  <c r="V95" i="4"/>
  <c r="U95" i="4"/>
  <c r="AD94" i="4"/>
  <c r="AC94" i="4"/>
  <c r="AB94" i="4"/>
  <c r="AA94" i="4"/>
  <c r="Z94" i="4"/>
  <c r="Y94" i="4"/>
  <c r="X94" i="4"/>
  <c r="W94" i="4"/>
  <c r="V94" i="4"/>
  <c r="U94" i="4"/>
  <c r="AD93" i="4"/>
  <c r="AC93" i="4"/>
  <c r="AB93" i="4"/>
  <c r="AA93" i="4"/>
  <c r="Z93" i="4"/>
  <c r="Y93" i="4"/>
  <c r="X93" i="4"/>
  <c r="W93" i="4"/>
  <c r="V93" i="4"/>
  <c r="U93" i="4"/>
  <c r="Y91" i="4"/>
  <c r="U91" i="4"/>
  <c r="T91" i="4"/>
  <c r="S91" i="4"/>
  <c r="R91" i="4"/>
  <c r="Q91" i="4"/>
  <c r="P91" i="4"/>
  <c r="O91" i="4"/>
  <c r="N91" i="4"/>
  <c r="M91" i="4"/>
  <c r="L91" i="4"/>
  <c r="K91" i="4"/>
  <c r="J91" i="4"/>
  <c r="I91" i="4"/>
  <c r="H91" i="4"/>
  <c r="G91" i="4"/>
  <c r="F91" i="4"/>
  <c r="E91" i="4"/>
  <c r="D91" i="4"/>
  <c r="Y90" i="4"/>
  <c r="U90" i="4"/>
  <c r="AD89" i="4"/>
  <c r="AC89" i="4"/>
  <c r="AB89" i="4"/>
  <c r="AA89" i="4"/>
  <c r="Z89" i="4"/>
  <c r="Y89" i="4"/>
  <c r="X89" i="4"/>
  <c r="W89" i="4"/>
  <c r="V89" i="4"/>
  <c r="U89" i="4"/>
  <c r="AD88" i="4"/>
  <c r="AC88" i="4"/>
  <c r="AB88" i="4"/>
  <c r="AA88" i="4"/>
  <c r="Z88" i="4"/>
  <c r="Y88" i="4"/>
  <c r="X88" i="4"/>
  <c r="W88" i="4"/>
  <c r="V88" i="4"/>
  <c r="U88" i="4"/>
  <c r="AD87" i="4"/>
  <c r="AC87" i="4"/>
  <c r="AB87" i="4"/>
  <c r="AA87" i="4"/>
  <c r="Z87" i="4"/>
  <c r="Y87" i="4"/>
  <c r="X87" i="4"/>
  <c r="W87" i="4"/>
  <c r="V87" i="4"/>
  <c r="U87" i="4"/>
  <c r="AD86" i="4"/>
  <c r="AC86" i="4"/>
  <c r="AB86" i="4"/>
  <c r="AA86" i="4"/>
  <c r="Z86" i="4"/>
  <c r="Y86" i="4"/>
  <c r="X86" i="4"/>
  <c r="W86" i="4"/>
  <c r="V86" i="4"/>
  <c r="U86" i="4"/>
  <c r="AD85" i="4"/>
  <c r="AC85" i="4"/>
  <c r="AB85" i="4"/>
  <c r="AA85" i="4"/>
  <c r="Z85" i="4"/>
  <c r="Y85" i="4"/>
  <c r="X85" i="4"/>
  <c r="W85" i="4"/>
  <c r="V85" i="4"/>
  <c r="U85" i="4"/>
  <c r="AD84" i="4"/>
  <c r="AC84" i="4"/>
  <c r="AB84" i="4"/>
  <c r="AA84" i="4"/>
  <c r="Z84" i="4"/>
  <c r="Y84" i="4"/>
  <c r="X84" i="4"/>
  <c r="W84" i="4"/>
  <c r="V84" i="4"/>
  <c r="U84" i="4"/>
  <c r="AD83" i="4"/>
  <c r="AC83" i="4"/>
  <c r="AB83" i="4"/>
  <c r="AA83" i="4"/>
  <c r="Z83" i="4"/>
  <c r="Y83" i="4"/>
  <c r="X83" i="4"/>
  <c r="W83" i="4"/>
  <c r="V83" i="4"/>
  <c r="U83" i="4"/>
  <c r="AD81" i="4"/>
  <c r="AC81" i="4"/>
  <c r="AB81" i="4"/>
  <c r="AA81" i="4"/>
  <c r="Z81" i="4"/>
  <c r="Y81" i="4"/>
  <c r="X81" i="4"/>
  <c r="W81" i="4"/>
  <c r="V81" i="4"/>
  <c r="U81" i="4"/>
  <c r="T81" i="4"/>
  <c r="S81" i="4"/>
  <c r="R81" i="4"/>
  <c r="Q81" i="4"/>
  <c r="P81" i="4"/>
  <c r="O81" i="4"/>
  <c r="N81" i="4"/>
  <c r="M81" i="4"/>
  <c r="L81" i="4"/>
  <c r="K81" i="4"/>
  <c r="J81" i="4"/>
  <c r="I81" i="4"/>
  <c r="H81" i="4"/>
  <c r="G81" i="4"/>
  <c r="F81" i="4"/>
  <c r="E81" i="4"/>
  <c r="D81" i="4"/>
  <c r="AD80" i="4"/>
  <c r="AC80" i="4"/>
  <c r="AB80" i="4"/>
  <c r="AA80" i="4"/>
  <c r="Z80" i="4"/>
  <c r="Y80" i="4"/>
  <c r="X80" i="4"/>
  <c r="W80" i="4"/>
  <c r="V80" i="4"/>
  <c r="U80" i="4"/>
  <c r="AD79" i="4"/>
  <c r="AC79" i="4"/>
  <c r="AB79" i="4"/>
  <c r="AA79" i="4"/>
  <c r="Z79" i="4"/>
  <c r="Y79" i="4"/>
  <c r="X79" i="4"/>
  <c r="W79" i="4"/>
  <c r="V79" i="4"/>
  <c r="U79" i="4"/>
  <c r="AD78" i="4"/>
  <c r="AC78" i="4"/>
  <c r="AB78" i="4"/>
  <c r="AA78" i="4"/>
  <c r="Z78" i="4"/>
  <c r="Y78" i="4"/>
  <c r="X78" i="4"/>
  <c r="W78" i="4"/>
  <c r="V78" i="4"/>
  <c r="U78" i="4"/>
  <c r="AD77" i="4"/>
  <c r="AC77" i="4"/>
  <c r="AB77" i="4"/>
  <c r="AA77" i="4"/>
  <c r="Z77" i="4"/>
  <c r="Y77" i="4"/>
  <c r="X77" i="4"/>
  <c r="W77" i="4"/>
  <c r="V77" i="4"/>
  <c r="U77" i="4"/>
  <c r="AD76" i="4"/>
  <c r="AC76" i="4"/>
  <c r="AB76" i="4"/>
  <c r="AA76" i="4"/>
  <c r="Z76" i="4"/>
  <c r="Y76" i="4"/>
  <c r="X76" i="4"/>
  <c r="W76" i="4"/>
  <c r="V76" i="4"/>
  <c r="U76" i="4"/>
  <c r="AD75" i="4"/>
  <c r="AC75" i="4"/>
  <c r="AB75" i="4"/>
  <c r="AA75" i="4"/>
  <c r="Z75" i="4"/>
  <c r="Y75" i="4"/>
  <c r="X75" i="4"/>
  <c r="W75" i="4"/>
  <c r="V75" i="4"/>
  <c r="U75" i="4"/>
  <c r="T72" i="4"/>
  <c r="S72" i="4"/>
  <c r="R72" i="4"/>
  <c r="Q72" i="4"/>
  <c r="P72" i="4"/>
  <c r="O72" i="4"/>
  <c r="N72" i="4"/>
  <c r="M72" i="4"/>
  <c r="L72" i="4"/>
  <c r="K72" i="4"/>
  <c r="J72" i="4"/>
  <c r="I72" i="4"/>
  <c r="H72" i="4"/>
  <c r="G72" i="4"/>
  <c r="F72" i="4"/>
  <c r="E72" i="4"/>
  <c r="D72" i="4"/>
  <c r="Y71" i="4"/>
  <c r="U71" i="4"/>
  <c r="T71" i="4"/>
  <c r="R71" i="4"/>
  <c r="Q71" i="4"/>
  <c r="P71" i="4"/>
  <c r="O71" i="4"/>
  <c r="N71" i="4"/>
  <c r="M71" i="4"/>
  <c r="L71" i="4"/>
  <c r="K71" i="4"/>
  <c r="J71" i="4"/>
  <c r="I71" i="4"/>
  <c r="H71" i="4"/>
  <c r="G71" i="4"/>
  <c r="F71" i="4"/>
  <c r="E71" i="4"/>
  <c r="T70" i="4"/>
  <c r="T69" i="4"/>
  <c r="S69" i="4"/>
  <c r="R69" i="4"/>
  <c r="Q69" i="4"/>
  <c r="P69" i="4"/>
  <c r="O69" i="4"/>
  <c r="N69" i="4"/>
  <c r="M69" i="4"/>
  <c r="L69" i="4"/>
  <c r="K69" i="4"/>
  <c r="J69" i="4"/>
  <c r="I69" i="4"/>
  <c r="H69" i="4"/>
  <c r="G69" i="4"/>
  <c r="F69" i="4"/>
  <c r="E69" i="4"/>
  <c r="D69" i="4"/>
  <c r="U67" i="4"/>
  <c r="U69" i="4" s="1"/>
  <c r="U72" i="4" s="1"/>
  <c r="V71" i="4" s="1"/>
  <c r="V90" i="4" s="1"/>
  <c r="T67" i="4"/>
  <c r="S67" i="4"/>
  <c r="R67" i="4"/>
  <c r="Q67" i="4"/>
  <c r="P67" i="4"/>
  <c r="O67" i="4"/>
  <c r="N67" i="4"/>
  <c r="M67" i="4"/>
  <c r="L67" i="4"/>
  <c r="K67" i="4"/>
  <c r="J67" i="4"/>
  <c r="I67" i="4"/>
  <c r="H67" i="4"/>
  <c r="G67" i="4"/>
  <c r="F67" i="4"/>
  <c r="E67" i="4"/>
  <c r="D67" i="4"/>
  <c r="AD66" i="4"/>
  <c r="Y66" i="4"/>
  <c r="T66" i="4"/>
  <c r="AD65" i="4"/>
  <c r="Y65" i="4"/>
  <c r="T65" i="4"/>
  <c r="T64" i="4"/>
  <c r="AD63" i="4"/>
  <c r="Y63" i="4"/>
  <c r="T63" i="4"/>
  <c r="AD62" i="4"/>
  <c r="Y62" i="4"/>
  <c r="T62" i="4"/>
  <c r="AD61" i="4"/>
  <c r="Y61" i="4"/>
  <c r="T61" i="4"/>
  <c r="AD60" i="4"/>
  <c r="Y60" i="4"/>
  <c r="T60" i="4"/>
  <c r="AD59" i="4"/>
  <c r="AC59" i="4"/>
  <c r="AB59" i="4"/>
  <c r="AA59" i="4"/>
  <c r="Z59" i="4"/>
  <c r="Y59" i="4"/>
  <c r="X59" i="4"/>
  <c r="W59" i="4"/>
  <c r="V59" i="4"/>
  <c r="U59" i="4"/>
  <c r="T59" i="4"/>
  <c r="AD58" i="4"/>
  <c r="Y58" i="4"/>
  <c r="T58" i="4"/>
  <c r="AD56" i="4"/>
  <c r="AC56" i="4"/>
  <c r="AB56" i="4"/>
  <c r="AA56" i="4"/>
  <c r="Z56" i="4"/>
  <c r="Y56" i="4"/>
  <c r="X56" i="4"/>
  <c r="W56" i="4"/>
  <c r="V56" i="4"/>
  <c r="U56" i="4"/>
  <c r="T56" i="4"/>
  <c r="S56" i="4"/>
  <c r="R56" i="4"/>
  <c r="Q56" i="4"/>
  <c r="P56" i="4"/>
  <c r="O56" i="4"/>
  <c r="N56" i="4"/>
  <c r="M56" i="4"/>
  <c r="L56" i="4"/>
  <c r="K56" i="4"/>
  <c r="J56" i="4"/>
  <c r="I56" i="4"/>
  <c r="H56" i="4"/>
  <c r="G56" i="4"/>
  <c r="F56" i="4"/>
  <c r="E56" i="4"/>
  <c r="D56" i="4"/>
  <c r="AD55" i="4"/>
  <c r="Y55" i="4"/>
  <c r="T55" i="4"/>
  <c r="AD54" i="4"/>
  <c r="Y54" i="4"/>
  <c r="T54" i="4"/>
  <c r="AD53" i="4"/>
  <c r="Y53" i="4"/>
  <c r="T53" i="4"/>
  <c r="AD52" i="4"/>
  <c r="Y52" i="4"/>
  <c r="T52" i="4"/>
  <c r="AD51" i="4"/>
  <c r="Y51" i="4"/>
  <c r="T51" i="4"/>
  <c r="AD50" i="4"/>
  <c r="Y50" i="4"/>
  <c r="T50" i="4"/>
  <c r="AD49" i="4"/>
  <c r="Y49" i="4"/>
  <c r="T49" i="4"/>
  <c r="U47" i="4"/>
  <c r="T47" i="4"/>
  <c r="S47" i="4"/>
  <c r="R47" i="4"/>
  <c r="Q47" i="4"/>
  <c r="P47" i="4"/>
  <c r="O47" i="4"/>
  <c r="N47" i="4"/>
  <c r="M47" i="4"/>
  <c r="L47" i="4"/>
  <c r="K47" i="4"/>
  <c r="J47" i="4"/>
  <c r="I47" i="4"/>
  <c r="H47" i="4"/>
  <c r="G47" i="4"/>
  <c r="F47" i="4"/>
  <c r="E47" i="4"/>
  <c r="D47" i="4"/>
  <c r="AD46" i="4"/>
  <c r="Y46" i="4"/>
  <c r="T46" i="4"/>
  <c r="AD45" i="4"/>
  <c r="Y45" i="4"/>
  <c r="T45" i="4"/>
  <c r="AD44" i="4"/>
  <c r="Y44" i="4"/>
  <c r="T44" i="4"/>
  <c r="AD43" i="4"/>
  <c r="Y43" i="4"/>
  <c r="T43" i="4"/>
  <c r="AD42" i="4"/>
  <c r="Y42" i="4"/>
  <c r="T42" i="4"/>
  <c r="AD41" i="4"/>
  <c r="Y41" i="4"/>
  <c r="T41" i="4"/>
  <c r="AD40" i="4"/>
  <c r="Y40" i="4"/>
  <c r="T40" i="4"/>
  <c r="AD39" i="4"/>
  <c r="Y39" i="4"/>
  <c r="T39" i="4"/>
  <c r="AD38" i="4"/>
  <c r="Y38" i="4"/>
  <c r="T38" i="4"/>
  <c r="AD37" i="4"/>
  <c r="Y37" i="4"/>
  <c r="T37" i="4"/>
  <c r="AD36" i="4"/>
  <c r="Y36" i="4"/>
  <c r="T36" i="4"/>
  <c r="AD35" i="4"/>
  <c r="Y35" i="4"/>
  <c r="T35" i="4"/>
  <c r="AD34" i="4"/>
  <c r="Y34" i="4"/>
  <c r="T34" i="4"/>
  <c r="AD33" i="4"/>
  <c r="Y33" i="4"/>
  <c r="T33" i="4"/>
  <c r="AD32" i="4"/>
  <c r="Y32" i="4"/>
  <c r="T32" i="4"/>
  <c r="AD31" i="4"/>
  <c r="Y31" i="4"/>
  <c r="T31" i="4"/>
  <c r="AD30" i="4"/>
  <c r="Y30" i="4"/>
  <c r="T30" i="4"/>
  <c r="AD29" i="4"/>
  <c r="AC29" i="4"/>
  <c r="AB29" i="4"/>
  <c r="AA29" i="4"/>
  <c r="Z29" i="4"/>
  <c r="Y29" i="4"/>
  <c r="X29" i="4"/>
  <c r="W29" i="4"/>
  <c r="V29" i="4"/>
  <c r="U29" i="4"/>
  <c r="T29" i="4"/>
  <c r="U27" i="4"/>
  <c r="T27" i="4"/>
  <c r="S27" i="4"/>
  <c r="R27" i="4"/>
  <c r="Q27" i="4"/>
  <c r="P27" i="4"/>
  <c r="O27" i="4"/>
  <c r="N27" i="4"/>
  <c r="M27" i="4"/>
  <c r="L27" i="4"/>
  <c r="K27" i="4"/>
  <c r="J27" i="4"/>
  <c r="I27" i="4"/>
  <c r="H27" i="4"/>
  <c r="G27" i="4"/>
  <c r="F27" i="4"/>
  <c r="E27" i="4"/>
  <c r="D27" i="4"/>
  <c r="AD26" i="4"/>
  <c r="Y26" i="4"/>
  <c r="T26" i="4"/>
  <c r="AD25" i="4"/>
  <c r="Y25" i="4"/>
  <c r="T25" i="4"/>
  <c r="AD24" i="4"/>
  <c r="Y24" i="4"/>
  <c r="T24" i="4"/>
  <c r="AD23" i="4"/>
  <c r="Y23" i="4"/>
  <c r="T23" i="4"/>
  <c r="U22" i="4"/>
  <c r="T22" i="4"/>
  <c r="AD21" i="4"/>
  <c r="Y21" i="4"/>
  <c r="T21" i="4"/>
  <c r="AD20" i="4"/>
  <c r="AC20" i="4"/>
  <c r="AB20" i="4"/>
  <c r="AA20" i="4"/>
  <c r="Z20" i="4"/>
  <c r="Y20" i="4"/>
  <c r="X20" i="4"/>
  <c r="W20" i="4"/>
  <c r="V20" i="4"/>
  <c r="U20" i="4"/>
  <c r="T20" i="4"/>
  <c r="AD19" i="4"/>
  <c r="Y19" i="4"/>
  <c r="T19" i="4"/>
  <c r="AD18" i="4"/>
  <c r="AC18" i="4"/>
  <c r="AB18" i="4"/>
  <c r="AA18" i="4"/>
  <c r="Z18" i="4"/>
  <c r="Y18" i="4"/>
  <c r="X18" i="4"/>
  <c r="W18" i="4"/>
  <c r="V18" i="4"/>
  <c r="U18" i="4"/>
  <c r="T18" i="4"/>
  <c r="U16" i="4"/>
  <c r="T16" i="4"/>
  <c r="S16" i="4"/>
  <c r="R16" i="4"/>
  <c r="Q16" i="4"/>
  <c r="P16" i="4"/>
  <c r="O16" i="4"/>
  <c r="N16" i="4"/>
  <c r="M16" i="4"/>
  <c r="L16" i="4"/>
  <c r="K16" i="4"/>
  <c r="J16" i="4"/>
  <c r="I16" i="4"/>
  <c r="H16" i="4"/>
  <c r="G16" i="4"/>
  <c r="F16" i="4"/>
  <c r="E16" i="4"/>
  <c r="D16" i="4"/>
  <c r="T15" i="4"/>
  <c r="AD14" i="4"/>
  <c r="AC14" i="4"/>
  <c r="AB14" i="4"/>
  <c r="AA14" i="4"/>
  <c r="Z14" i="4"/>
  <c r="Y14" i="4"/>
  <c r="X14" i="4"/>
  <c r="W14" i="4"/>
  <c r="V14" i="4"/>
  <c r="U14" i="4"/>
  <c r="T14" i="4"/>
  <c r="AD13" i="4"/>
  <c r="Y13" i="4"/>
  <c r="T13" i="4"/>
  <c r="AD12" i="4"/>
  <c r="AC12" i="4"/>
  <c r="AB12" i="4"/>
  <c r="AA12" i="4"/>
  <c r="Z12" i="4"/>
  <c r="Y12" i="4"/>
  <c r="X12" i="4"/>
  <c r="W12" i="4"/>
  <c r="V12" i="4"/>
  <c r="U12" i="4"/>
  <c r="T12" i="4"/>
  <c r="U10" i="4"/>
  <c r="T10" i="4"/>
  <c r="S10" i="4"/>
  <c r="R10" i="4"/>
  <c r="Q10" i="4"/>
  <c r="P10" i="4"/>
  <c r="O10" i="4"/>
  <c r="N10" i="4"/>
  <c r="M10" i="4"/>
  <c r="L10" i="4"/>
  <c r="K10" i="4"/>
  <c r="J10" i="4"/>
  <c r="I10" i="4"/>
  <c r="H10" i="4"/>
  <c r="G10" i="4"/>
  <c r="F10" i="4"/>
  <c r="E10" i="4"/>
  <c r="D10" i="4"/>
  <c r="T9" i="4"/>
  <c r="T8" i="4"/>
  <c r="T7" i="4"/>
  <c r="AC307" i="5"/>
  <c r="AB307" i="5"/>
  <c r="AA307" i="5"/>
  <c r="Z307" i="5"/>
  <c r="X307" i="5"/>
  <c r="W307" i="5"/>
  <c r="V307" i="5"/>
  <c r="AC306" i="5"/>
  <c r="AB306" i="5"/>
  <c r="AA306" i="5"/>
  <c r="Z306" i="5"/>
  <c r="X306" i="5"/>
  <c r="W306" i="5"/>
  <c r="V306" i="5"/>
  <c r="AC305" i="5"/>
  <c r="AB305" i="5"/>
  <c r="AA305" i="5"/>
  <c r="Z305" i="5"/>
  <c r="X305" i="5"/>
  <c r="W305" i="5"/>
  <c r="V305" i="5"/>
  <c r="AC304" i="5"/>
  <c r="AB304" i="5"/>
  <c r="AA304" i="5"/>
  <c r="Z304" i="5"/>
  <c r="X304" i="5"/>
  <c r="W304" i="5"/>
  <c r="V304" i="5"/>
  <c r="AC303" i="5"/>
  <c r="AB303" i="5"/>
  <c r="AA303" i="5"/>
  <c r="Z303" i="5"/>
  <c r="X303" i="5"/>
  <c r="W303" i="5"/>
  <c r="V303" i="5"/>
  <c r="AC302" i="5"/>
  <c r="AB302" i="5"/>
  <c r="AA302" i="5"/>
  <c r="Z302" i="5"/>
  <c r="X302" i="5"/>
  <c r="W302" i="5"/>
  <c r="V302" i="5"/>
  <c r="AC301" i="5"/>
  <c r="AB301" i="5"/>
  <c r="AA301" i="5"/>
  <c r="Z301" i="5"/>
  <c r="X301" i="5"/>
  <c r="W301" i="5"/>
  <c r="V301" i="5"/>
  <c r="AC300" i="5"/>
  <c r="AB300" i="5"/>
  <c r="AA300" i="5"/>
  <c r="Z300" i="5"/>
  <c r="X300" i="5"/>
  <c r="W300" i="5"/>
  <c r="V300" i="5"/>
  <c r="AC299" i="5"/>
  <c r="AB299" i="5"/>
  <c r="AA299" i="5"/>
  <c r="Z299" i="5"/>
  <c r="X299" i="5"/>
  <c r="W299" i="5"/>
  <c r="V299" i="5"/>
  <c r="AC298" i="5"/>
  <c r="AB298" i="5"/>
  <c r="AA298" i="5"/>
  <c r="Z298" i="5"/>
  <c r="X298" i="5"/>
  <c r="W298" i="5"/>
  <c r="V298" i="5"/>
  <c r="AC297" i="5"/>
  <c r="AB297" i="5"/>
  <c r="AA297" i="5"/>
  <c r="Z297" i="5"/>
  <c r="X297" i="5"/>
  <c r="W297" i="5"/>
  <c r="V297" i="5"/>
  <c r="AC296" i="5"/>
  <c r="AB296" i="5"/>
  <c r="AA296" i="5"/>
  <c r="Z296" i="5"/>
  <c r="X296" i="5"/>
  <c r="W296" i="5"/>
  <c r="V296" i="5"/>
  <c r="AC295" i="5"/>
  <c r="AB295" i="5"/>
  <c r="AA295" i="5"/>
  <c r="Z295" i="5"/>
  <c r="X295" i="5"/>
  <c r="W295" i="5"/>
  <c r="V295" i="5"/>
  <c r="AC294" i="5"/>
  <c r="AB294" i="5"/>
  <c r="AA294" i="5"/>
  <c r="Z294" i="5"/>
  <c r="X294" i="5"/>
  <c r="W294" i="5"/>
  <c r="V294" i="5"/>
  <c r="AC293" i="5"/>
  <c r="AB293" i="5"/>
  <c r="AA293" i="5"/>
  <c r="Z293" i="5"/>
  <c r="X293" i="5"/>
  <c r="W293" i="5"/>
  <c r="V293" i="5"/>
  <c r="AC292" i="5"/>
  <c r="AB292" i="5"/>
  <c r="AA292" i="5"/>
  <c r="Z292" i="5"/>
  <c r="X292" i="5"/>
  <c r="W292" i="5"/>
  <c r="V292" i="5"/>
  <c r="AC291" i="5"/>
  <c r="AB291" i="5"/>
  <c r="AA291" i="5"/>
  <c r="Z291" i="5"/>
  <c r="X291" i="5"/>
  <c r="W291" i="5"/>
  <c r="V291" i="5"/>
  <c r="AC290" i="5"/>
  <c r="AB290" i="5"/>
  <c r="AA290" i="5"/>
  <c r="Z290" i="5"/>
  <c r="X290" i="5"/>
  <c r="W290" i="5"/>
  <c r="V290" i="5"/>
  <c r="AC288" i="5"/>
  <c r="AB288" i="5"/>
  <c r="AA288" i="5"/>
  <c r="Z288" i="5"/>
  <c r="X288" i="5"/>
  <c r="W288" i="5"/>
  <c r="V288" i="5"/>
  <c r="AC287" i="5"/>
  <c r="AB287" i="5"/>
  <c r="AA287" i="5"/>
  <c r="Z287" i="5"/>
  <c r="X287" i="5"/>
  <c r="W287" i="5"/>
  <c r="V287" i="5"/>
  <c r="AC286" i="5"/>
  <c r="AB286" i="5"/>
  <c r="AA286" i="5"/>
  <c r="Z286" i="5"/>
  <c r="X286" i="5"/>
  <c r="W286" i="5"/>
  <c r="V286" i="5"/>
  <c r="AC285" i="5"/>
  <c r="AB285" i="5"/>
  <c r="AA285" i="5"/>
  <c r="Z285" i="5"/>
  <c r="X285" i="5"/>
  <c r="W285" i="5"/>
  <c r="V285" i="5"/>
  <c r="AC284" i="5"/>
  <c r="AB284" i="5"/>
  <c r="AA284" i="5"/>
  <c r="Z284" i="5"/>
  <c r="X284" i="5"/>
  <c r="W284" i="5"/>
  <c r="V284" i="5"/>
  <c r="AC283" i="5"/>
  <c r="AB283" i="5"/>
  <c r="AA283" i="5"/>
  <c r="Z283" i="5"/>
  <c r="X283" i="5"/>
  <c r="W283" i="5"/>
  <c r="V283" i="5"/>
  <c r="AC282" i="5"/>
  <c r="AB282" i="5"/>
  <c r="AA282" i="5"/>
  <c r="Z282" i="5"/>
  <c r="X282" i="5"/>
  <c r="W282" i="5"/>
  <c r="V282" i="5"/>
  <c r="AC281" i="5"/>
  <c r="AB281" i="5"/>
  <c r="AA281" i="5"/>
  <c r="Z281" i="5"/>
  <c r="AC280" i="5"/>
  <c r="AB280" i="5"/>
  <c r="AA280" i="5"/>
  <c r="Z280" i="5"/>
  <c r="AC279" i="5"/>
  <c r="AB279" i="5"/>
  <c r="AA279" i="5"/>
  <c r="Z279" i="5"/>
  <c r="X279" i="5"/>
  <c r="W279" i="5"/>
  <c r="V279" i="5"/>
  <c r="AC278" i="5"/>
  <c r="AB278" i="5"/>
  <c r="AA278" i="5"/>
  <c r="Z278" i="5"/>
  <c r="X278" i="5"/>
  <c r="W278" i="5"/>
  <c r="V278" i="5"/>
  <c r="AC277" i="5"/>
  <c r="AB277" i="5"/>
  <c r="AA277" i="5"/>
  <c r="AC276" i="5"/>
  <c r="AB276" i="5"/>
  <c r="AA276" i="5"/>
  <c r="Z276" i="5"/>
  <c r="X276" i="5"/>
  <c r="W276" i="5"/>
  <c r="V276" i="5"/>
  <c r="AC275" i="5"/>
  <c r="AB275" i="5"/>
  <c r="AA275" i="5"/>
  <c r="Z275" i="5"/>
  <c r="X275" i="5"/>
  <c r="W275" i="5"/>
  <c r="V275" i="5"/>
  <c r="AC274" i="5"/>
  <c r="AB274" i="5"/>
  <c r="AA274" i="5"/>
  <c r="Z274" i="5"/>
  <c r="X274" i="5"/>
  <c r="W274" i="5"/>
  <c r="V274" i="5"/>
  <c r="X273" i="5"/>
  <c r="W273" i="5"/>
  <c r="V273" i="5"/>
  <c r="X272" i="5"/>
  <c r="W272" i="5"/>
  <c r="V272" i="5"/>
  <c r="X271" i="5"/>
  <c r="W271" i="5"/>
  <c r="V271" i="5"/>
  <c r="X270" i="5"/>
  <c r="W270" i="5"/>
  <c r="V270" i="5"/>
  <c r="X269" i="5"/>
  <c r="W269" i="5"/>
  <c r="V269" i="5"/>
  <c r="AA268" i="5"/>
  <c r="X268" i="5"/>
  <c r="W268" i="5"/>
  <c r="V268" i="5"/>
  <c r="X267" i="5"/>
  <c r="W267" i="5"/>
  <c r="V267" i="5"/>
  <c r="X266" i="5"/>
  <c r="W266" i="5"/>
  <c r="V266" i="5"/>
  <c r="AC265" i="5"/>
  <c r="AB265" i="5"/>
  <c r="AC264" i="5"/>
  <c r="AB264" i="5"/>
  <c r="AA264" i="5"/>
  <c r="Z264" i="5"/>
  <c r="X264" i="5"/>
  <c r="W264" i="5"/>
  <c r="V264" i="5"/>
  <c r="AC263" i="5"/>
  <c r="AB263" i="5"/>
  <c r="AA263" i="5"/>
  <c r="Z263" i="5"/>
  <c r="X263" i="5"/>
  <c r="W263" i="5"/>
  <c r="V263" i="5"/>
  <c r="AC262" i="5"/>
  <c r="AB262" i="5"/>
  <c r="AA262" i="5"/>
  <c r="Z262" i="5"/>
  <c r="X262" i="5"/>
  <c r="W262" i="5"/>
  <c r="V262" i="5"/>
  <c r="AC256" i="5"/>
  <c r="AB256" i="5"/>
  <c r="AA256" i="5"/>
  <c r="Z256" i="5"/>
  <c r="X256" i="5"/>
  <c r="W256" i="5"/>
  <c r="V256" i="5"/>
  <c r="AC255" i="5"/>
  <c r="AB255" i="5"/>
  <c r="AA255" i="5"/>
  <c r="Z255" i="5"/>
  <c r="X255" i="5"/>
  <c r="W255" i="5"/>
  <c r="V255" i="5"/>
  <c r="AC252" i="5"/>
  <c r="AB252" i="5"/>
  <c r="AA252" i="5"/>
  <c r="Z252" i="5"/>
  <c r="AC251" i="5"/>
  <c r="AB251" i="5"/>
  <c r="AA251" i="5"/>
  <c r="Z251" i="5"/>
  <c r="X251" i="5"/>
  <c r="W251" i="5"/>
  <c r="V251" i="5"/>
  <c r="AC250" i="5"/>
  <c r="AB250" i="5"/>
  <c r="AA250" i="5"/>
  <c r="Z250" i="5"/>
  <c r="X250" i="5"/>
  <c r="W250" i="5"/>
  <c r="V250" i="5"/>
  <c r="U230" i="5"/>
  <c r="U229" i="5"/>
  <c r="D227" i="5"/>
  <c r="D228" i="5" s="1"/>
  <c r="D227" i="5" a="1"/>
  <c r="D222" i="5"/>
  <c r="D217" i="5"/>
  <c r="D216" i="5"/>
  <c r="D215" i="5"/>
  <c r="D214" i="5"/>
  <c r="D213" i="5"/>
  <c r="K209" i="5"/>
  <c r="K208" i="5"/>
  <c r="K207" i="5"/>
  <c r="K206" i="5"/>
  <c r="K205" i="5"/>
  <c r="K204" i="5"/>
  <c r="K203" i="5"/>
  <c r="K202" i="5"/>
  <c r="K201" i="5"/>
  <c r="K200" i="5"/>
  <c r="K199" i="5"/>
  <c r="K198" i="5"/>
  <c r="K197" i="5"/>
  <c r="K196" i="5"/>
  <c r="K195" i="5"/>
  <c r="K194" i="5"/>
  <c r="K193" i="5"/>
  <c r="K192" i="5"/>
  <c r="K191" i="5"/>
  <c r="K190" i="5"/>
  <c r="K189" i="5"/>
  <c r="K188" i="5"/>
  <c r="K187" i="5"/>
  <c r="K186" i="5"/>
  <c r="K185" i="5"/>
  <c r="K184" i="5"/>
  <c r="K183" i="5"/>
  <c r="K182" i="5"/>
  <c r="K181" i="5"/>
  <c r="K180" i="5"/>
  <c r="K179" i="5"/>
  <c r="K178" i="5"/>
  <c r="K177" i="5"/>
  <c r="K176" i="5"/>
  <c r="K175" i="5"/>
  <c r="K174" i="5"/>
  <c r="K173" i="5"/>
  <c r="K172" i="5"/>
  <c r="K171" i="5"/>
  <c r="K170" i="5"/>
  <c r="K169" i="5"/>
  <c r="K168" i="5"/>
  <c r="K167" i="5"/>
  <c r="K166" i="5"/>
  <c r="K165" i="5"/>
  <c r="K164" i="5"/>
  <c r="K163" i="5"/>
  <c r="K162" i="5"/>
  <c r="K161" i="5"/>
  <c r="K160" i="5"/>
  <c r="K159" i="5"/>
  <c r="K158" i="5"/>
  <c r="K157" i="5"/>
  <c r="K156" i="5"/>
  <c r="K155" i="5"/>
  <c r="K154" i="5"/>
  <c r="K153" i="5"/>
  <c r="K152" i="5"/>
  <c r="K151" i="5"/>
  <c r="K150" i="5"/>
  <c r="K149" i="5"/>
  <c r="K148" i="5"/>
  <c r="K147" i="5"/>
  <c r="K146" i="5"/>
  <c r="K145" i="5"/>
  <c r="K144" i="5"/>
  <c r="K143" i="5"/>
  <c r="K142" i="5"/>
  <c r="K141" i="5"/>
  <c r="K140" i="5"/>
  <c r="K139" i="5"/>
  <c r="K138" i="5"/>
  <c r="R134" i="5"/>
  <c r="Q134" i="5"/>
  <c r="P134" i="5"/>
  <c r="O134" i="5"/>
  <c r="N134" i="5"/>
  <c r="M134" i="5"/>
  <c r="L134" i="5"/>
  <c r="K134" i="5"/>
  <c r="J134" i="5"/>
  <c r="I134" i="5"/>
  <c r="H134" i="5"/>
  <c r="G134" i="5"/>
  <c r="F134" i="5"/>
  <c r="E134" i="5"/>
  <c r="R133" i="5"/>
  <c r="Q133" i="5"/>
  <c r="P133" i="5"/>
  <c r="O133" i="5"/>
  <c r="N133" i="5"/>
  <c r="M133" i="5"/>
  <c r="L133" i="5"/>
  <c r="K133" i="5"/>
  <c r="J133" i="5"/>
  <c r="I133" i="5"/>
  <c r="H133" i="5"/>
  <c r="G133" i="5"/>
  <c r="F133" i="5"/>
  <c r="E133" i="5"/>
  <c r="AD131" i="5"/>
  <c r="AC131" i="5"/>
  <c r="AB131" i="5"/>
  <c r="AA131" i="5"/>
  <c r="Z131" i="5"/>
  <c r="Y131" i="5"/>
  <c r="X131" i="5"/>
  <c r="W131" i="5"/>
  <c r="V131" i="5"/>
  <c r="U131" i="5"/>
  <c r="T131" i="5"/>
  <c r="S131" i="5"/>
  <c r="R131" i="5"/>
  <c r="Q131" i="5"/>
  <c r="P131" i="5"/>
  <c r="O131" i="5"/>
  <c r="N131" i="5"/>
  <c r="M131" i="5"/>
  <c r="L131" i="5"/>
  <c r="K131" i="5"/>
  <c r="J131" i="5"/>
  <c r="I131" i="5"/>
  <c r="H131" i="5"/>
  <c r="G131" i="5"/>
  <c r="F131" i="5"/>
  <c r="E131" i="5"/>
  <c r="AD130" i="5"/>
  <c r="AC130" i="5"/>
  <c r="AB130" i="5"/>
  <c r="AA130" i="5"/>
  <c r="Z130" i="5"/>
  <c r="V130" i="5"/>
  <c r="U130" i="5"/>
  <c r="T130" i="5"/>
  <c r="S130" i="5"/>
  <c r="R130" i="5"/>
  <c r="Q130" i="5"/>
  <c r="P130" i="5"/>
  <c r="O130" i="5"/>
  <c r="N130" i="5"/>
  <c r="M130" i="5"/>
  <c r="L130" i="5"/>
  <c r="K130" i="5"/>
  <c r="J130" i="5"/>
  <c r="I130" i="5"/>
  <c r="H130" i="5"/>
  <c r="G130" i="5"/>
  <c r="F130" i="5"/>
  <c r="E130" i="5"/>
  <c r="AD129" i="5"/>
  <c r="AC129" i="5"/>
  <c r="AB129" i="5"/>
  <c r="AA129" i="5"/>
  <c r="Z129" i="5"/>
  <c r="V129" i="5"/>
  <c r="U129" i="5"/>
  <c r="T129" i="5"/>
  <c r="S129" i="5"/>
  <c r="R129" i="5"/>
  <c r="Q129" i="5"/>
  <c r="P129" i="5"/>
  <c r="O129" i="5"/>
  <c r="N129" i="5"/>
  <c r="M129" i="5"/>
  <c r="L129" i="5"/>
  <c r="K129" i="5"/>
  <c r="J129" i="5"/>
  <c r="I129" i="5"/>
  <c r="H129" i="5"/>
  <c r="G129" i="5"/>
  <c r="F129" i="5"/>
  <c r="E129" i="5"/>
  <c r="AD128" i="5"/>
  <c r="AC128" i="5"/>
  <c r="AB128" i="5"/>
  <c r="AA128" i="5"/>
  <c r="Z128" i="5"/>
  <c r="Y128" i="5"/>
  <c r="X128" i="5"/>
  <c r="W128" i="5"/>
  <c r="V128" i="5"/>
  <c r="U128" i="5"/>
  <c r="T128" i="5"/>
  <c r="S128" i="5"/>
  <c r="R128" i="5"/>
  <c r="Q128" i="5"/>
  <c r="P128" i="5"/>
  <c r="O128" i="5"/>
  <c r="N128" i="5"/>
  <c r="M128" i="5"/>
  <c r="L128" i="5"/>
  <c r="K128" i="5"/>
  <c r="J128" i="5"/>
  <c r="I128" i="5"/>
  <c r="H128" i="5"/>
  <c r="G128" i="5"/>
  <c r="F128" i="5"/>
  <c r="E128" i="5"/>
  <c r="T125" i="5"/>
  <c r="S125" i="5"/>
  <c r="R125" i="5"/>
  <c r="Q125" i="5"/>
  <c r="P125" i="5"/>
  <c r="O125" i="5"/>
  <c r="N125" i="5"/>
  <c r="M125" i="5"/>
  <c r="L125" i="5"/>
  <c r="K125" i="5"/>
  <c r="J125" i="5"/>
  <c r="I125" i="5"/>
  <c r="H125" i="5"/>
  <c r="G125" i="5"/>
  <c r="F125" i="5"/>
  <c r="E125" i="5"/>
  <c r="AD122" i="5"/>
  <c r="AC122" i="5"/>
  <c r="AB122" i="5"/>
  <c r="AA122" i="5"/>
  <c r="Z122" i="5"/>
  <c r="V122" i="5"/>
  <c r="U122" i="5"/>
  <c r="T122" i="5"/>
  <c r="S122" i="5"/>
  <c r="R122" i="5"/>
  <c r="Q122" i="5"/>
  <c r="P122" i="5"/>
  <c r="O122" i="5"/>
  <c r="N122" i="5"/>
  <c r="M122" i="5"/>
  <c r="L122" i="5"/>
  <c r="K122" i="5"/>
  <c r="J122" i="5"/>
  <c r="I122" i="5"/>
  <c r="H122" i="5"/>
  <c r="G122" i="5"/>
  <c r="F122" i="5"/>
  <c r="E122" i="5"/>
  <c r="V121" i="5"/>
  <c r="U121" i="5"/>
  <c r="AD119" i="5"/>
  <c r="AC119" i="5"/>
  <c r="AB119" i="5"/>
  <c r="AA119" i="5"/>
  <c r="Z119" i="5"/>
  <c r="Y119" i="5"/>
  <c r="X119" i="5"/>
  <c r="W119" i="5"/>
  <c r="V119" i="5"/>
  <c r="U119" i="5"/>
  <c r="T119" i="5"/>
  <c r="S119" i="5"/>
  <c r="R119" i="5"/>
  <c r="Q119" i="5"/>
  <c r="P119" i="5"/>
  <c r="O119" i="5"/>
  <c r="N119" i="5"/>
  <c r="M119" i="5"/>
  <c r="L119" i="5"/>
  <c r="K119" i="5"/>
  <c r="J119" i="5"/>
  <c r="I119" i="5"/>
  <c r="H119" i="5"/>
  <c r="G119" i="5"/>
  <c r="F119" i="5"/>
  <c r="E119" i="5"/>
  <c r="Y118" i="5"/>
  <c r="X118" i="5"/>
  <c r="W118" i="5"/>
  <c r="V118" i="5"/>
  <c r="U118" i="5"/>
  <c r="Y117" i="5"/>
  <c r="Y116" i="5"/>
  <c r="X116" i="5"/>
  <c r="W116" i="5"/>
  <c r="V116" i="5"/>
  <c r="U116" i="5"/>
  <c r="Y115" i="5"/>
  <c r="X115" i="5"/>
  <c r="W115" i="5"/>
  <c r="V115" i="5"/>
  <c r="U115" i="5"/>
  <c r="Y114" i="5"/>
  <c r="X114" i="5"/>
  <c r="W114" i="5"/>
  <c r="V114" i="5"/>
  <c r="U114" i="5"/>
  <c r="AD112" i="5"/>
  <c r="AC112" i="5"/>
  <c r="AB112" i="5"/>
  <c r="AA112" i="5"/>
  <c r="Z112" i="5"/>
  <c r="Y112" i="5"/>
  <c r="X112" i="5"/>
  <c r="W112" i="5"/>
  <c r="V112" i="5"/>
  <c r="U112" i="5"/>
  <c r="T112" i="5"/>
  <c r="S112" i="5"/>
  <c r="R112" i="5"/>
  <c r="Q112" i="5"/>
  <c r="P112" i="5"/>
  <c r="O112" i="5"/>
  <c r="N112" i="5"/>
  <c r="M112" i="5"/>
  <c r="L112" i="5"/>
  <c r="K112" i="5"/>
  <c r="J112" i="5"/>
  <c r="I112" i="5"/>
  <c r="H112" i="5"/>
  <c r="G112" i="5"/>
  <c r="F112" i="5"/>
  <c r="E112" i="5"/>
  <c r="Y111" i="5"/>
  <c r="X111" i="5"/>
  <c r="W111" i="5"/>
  <c r="V111" i="5"/>
  <c r="U111" i="5"/>
  <c r="Y110" i="5"/>
  <c r="X110" i="5"/>
  <c r="W110" i="5"/>
  <c r="V110" i="5"/>
  <c r="U110" i="5"/>
  <c r="Y109" i="5"/>
  <c r="X109" i="5"/>
  <c r="W109" i="5"/>
  <c r="V109" i="5"/>
  <c r="U109" i="5"/>
  <c r="Y108" i="5"/>
  <c r="X108" i="5"/>
  <c r="W108" i="5"/>
  <c r="V108" i="5"/>
  <c r="U108" i="5"/>
  <c r="AD106" i="5"/>
  <c r="AC106" i="5"/>
  <c r="AB106" i="5"/>
  <c r="AA106" i="5"/>
  <c r="Z106" i="5"/>
  <c r="V106" i="5"/>
  <c r="U106" i="5"/>
  <c r="T106" i="5"/>
  <c r="S106" i="5"/>
  <c r="R106" i="5"/>
  <c r="Q106" i="5"/>
  <c r="P106" i="5"/>
  <c r="O106" i="5"/>
  <c r="N106" i="5"/>
  <c r="M106" i="5"/>
  <c r="L106" i="5"/>
  <c r="K106" i="5"/>
  <c r="J106" i="5"/>
  <c r="I106" i="5"/>
  <c r="H106" i="5"/>
  <c r="G106" i="5"/>
  <c r="F106" i="5"/>
  <c r="E106" i="5"/>
  <c r="Y105" i="5"/>
  <c r="X105" i="5"/>
  <c r="W105" i="5"/>
  <c r="V105" i="5"/>
  <c r="U105" i="5"/>
  <c r="Y104" i="5"/>
  <c r="X104" i="5"/>
  <c r="W104" i="5"/>
  <c r="V104" i="5"/>
  <c r="U104" i="5"/>
  <c r="Y103" i="5"/>
  <c r="X103" i="5"/>
  <c r="W103" i="5"/>
  <c r="V103" i="5"/>
  <c r="U103" i="5"/>
  <c r="Y102" i="5"/>
  <c r="X102" i="5"/>
  <c r="W102" i="5"/>
  <c r="V102" i="5"/>
  <c r="U102" i="5"/>
  <c r="Y101" i="5"/>
  <c r="X101" i="5"/>
  <c r="W101" i="5"/>
  <c r="V101" i="5"/>
  <c r="U101" i="5"/>
  <c r="Y100" i="5"/>
  <c r="X100" i="5"/>
  <c r="W100" i="5"/>
  <c r="V100" i="5"/>
  <c r="U100" i="5"/>
  <c r="Y99" i="5"/>
  <c r="X99" i="5"/>
  <c r="W99" i="5"/>
  <c r="V99" i="5"/>
  <c r="U99" i="5"/>
  <c r="Y98" i="5"/>
  <c r="X98" i="5"/>
  <c r="W98" i="5"/>
  <c r="V98" i="5"/>
  <c r="U98" i="5"/>
  <c r="V97" i="5"/>
  <c r="U97" i="5"/>
  <c r="AD95" i="5"/>
  <c r="AC95" i="5"/>
  <c r="AB95" i="5"/>
  <c r="AA95" i="5"/>
  <c r="Z95" i="5"/>
  <c r="Y95" i="5"/>
  <c r="X95" i="5"/>
  <c r="W95" i="5"/>
  <c r="V95" i="5"/>
  <c r="U95" i="5"/>
  <c r="T95" i="5"/>
  <c r="S95" i="5"/>
  <c r="R95" i="5"/>
  <c r="Q95" i="5"/>
  <c r="P95" i="5"/>
  <c r="O95" i="5"/>
  <c r="N95" i="5"/>
  <c r="M95" i="5"/>
  <c r="L95" i="5"/>
  <c r="K95" i="5"/>
  <c r="J95" i="5"/>
  <c r="I95" i="5"/>
  <c r="H95" i="5"/>
  <c r="G95" i="5"/>
  <c r="F95" i="5"/>
  <c r="E95" i="5"/>
  <c r="Y94" i="5"/>
  <c r="X94" i="5"/>
  <c r="W94" i="5"/>
  <c r="V94" i="5"/>
  <c r="U94" i="5"/>
  <c r="Y93" i="5"/>
  <c r="X93" i="5"/>
  <c r="W93" i="5"/>
  <c r="V93" i="5"/>
  <c r="U93" i="5"/>
  <c r="Y92" i="5"/>
  <c r="X92" i="5"/>
  <c r="W92" i="5"/>
  <c r="V92" i="5"/>
  <c r="U92" i="5"/>
  <c r="Y91" i="5"/>
  <c r="X91" i="5"/>
  <c r="W91" i="5"/>
  <c r="V91" i="5"/>
  <c r="U91" i="5"/>
  <c r="Y90" i="5"/>
  <c r="X90" i="5"/>
  <c r="W90" i="5"/>
  <c r="V90" i="5"/>
  <c r="U90" i="5"/>
  <c r="Y89" i="5"/>
  <c r="X89" i="5"/>
  <c r="W89" i="5"/>
  <c r="V89" i="5"/>
  <c r="U89" i="5"/>
  <c r="Y88" i="5"/>
  <c r="X88" i="5"/>
  <c r="W88" i="5"/>
  <c r="V88" i="5"/>
  <c r="U88" i="5"/>
  <c r="Y87" i="5"/>
  <c r="X87" i="5"/>
  <c r="W87" i="5"/>
  <c r="V87" i="5"/>
  <c r="U87" i="5"/>
  <c r="Y86" i="5"/>
  <c r="X86" i="5"/>
  <c r="W86" i="5"/>
  <c r="V86" i="5"/>
  <c r="U86" i="5"/>
  <c r="Y85" i="5"/>
  <c r="X85" i="5"/>
  <c r="W85" i="5"/>
  <c r="V85" i="5"/>
  <c r="U85" i="5"/>
  <c r="V82" i="5"/>
  <c r="U82" i="5"/>
  <c r="T82" i="5"/>
  <c r="S82" i="5"/>
  <c r="R82" i="5"/>
  <c r="Q82" i="5"/>
  <c r="P82" i="5"/>
  <c r="O82" i="5"/>
  <c r="N82" i="5"/>
  <c r="M82" i="5"/>
  <c r="L82" i="5"/>
  <c r="K82" i="5"/>
  <c r="J82" i="5"/>
  <c r="I82" i="5"/>
  <c r="H82" i="5"/>
  <c r="G82" i="5"/>
  <c r="F82" i="5"/>
  <c r="E82" i="5"/>
  <c r="Y81" i="5"/>
  <c r="W81" i="5"/>
  <c r="V81" i="5"/>
  <c r="U81" i="5"/>
  <c r="T81" i="5"/>
  <c r="S81" i="5"/>
  <c r="R81" i="5"/>
  <c r="Q81" i="5"/>
  <c r="P81" i="5"/>
  <c r="O81" i="5"/>
  <c r="N81" i="5"/>
  <c r="M81" i="5"/>
  <c r="L81" i="5"/>
  <c r="K81" i="5"/>
  <c r="J81" i="5"/>
  <c r="I81" i="5"/>
  <c r="H81" i="5"/>
  <c r="G81" i="5"/>
  <c r="F81" i="5"/>
  <c r="V79" i="5"/>
  <c r="U79" i="5"/>
  <c r="T79" i="5"/>
  <c r="S79" i="5"/>
  <c r="R79" i="5"/>
  <c r="Q79" i="5"/>
  <c r="P79" i="5"/>
  <c r="O79" i="5"/>
  <c r="N79" i="5"/>
  <c r="M79" i="5"/>
  <c r="L79" i="5"/>
  <c r="K79" i="5"/>
  <c r="J79" i="5"/>
  <c r="I79" i="5"/>
  <c r="H79" i="5"/>
  <c r="G79" i="5"/>
  <c r="F79" i="5"/>
  <c r="E79" i="5"/>
  <c r="AD77" i="5"/>
  <c r="AC77" i="5"/>
  <c r="AB77" i="5"/>
  <c r="AA77" i="5"/>
  <c r="Z77" i="5"/>
  <c r="V77" i="5"/>
  <c r="U77" i="5"/>
  <c r="T77" i="5"/>
  <c r="S77" i="5"/>
  <c r="R77" i="5"/>
  <c r="Q77" i="5"/>
  <c r="P77" i="5"/>
  <c r="O77" i="5"/>
  <c r="N77" i="5"/>
  <c r="M77" i="5"/>
  <c r="L77" i="5"/>
  <c r="K77" i="5"/>
  <c r="J77" i="5"/>
  <c r="I77" i="5"/>
  <c r="H77" i="5"/>
  <c r="G77" i="5"/>
  <c r="F77" i="5"/>
  <c r="E77" i="5"/>
  <c r="T76" i="5"/>
  <c r="T75" i="5"/>
  <c r="S75" i="5"/>
  <c r="T74" i="5"/>
  <c r="T73" i="5"/>
  <c r="S73" i="5"/>
  <c r="V72" i="5"/>
  <c r="U72" i="5"/>
  <c r="T72" i="5"/>
  <c r="S72" i="5"/>
  <c r="T71" i="5"/>
  <c r="S71" i="5"/>
  <c r="T70" i="5"/>
  <c r="T69" i="5"/>
  <c r="T68" i="5"/>
  <c r="S68" i="5"/>
  <c r="T67" i="5"/>
  <c r="S67" i="5"/>
  <c r="Y66" i="5"/>
  <c r="T66" i="5"/>
  <c r="S66" i="5"/>
  <c r="T65" i="5"/>
  <c r="S65" i="5"/>
  <c r="X64" i="5"/>
  <c r="W64" i="5"/>
  <c r="V64" i="5"/>
  <c r="T64" i="5"/>
  <c r="S64" i="5"/>
  <c r="Y63" i="5"/>
  <c r="T63" i="5"/>
  <c r="S63" i="5"/>
  <c r="Y62" i="5"/>
  <c r="T62" i="5"/>
  <c r="Y61" i="5"/>
  <c r="T61" i="5"/>
  <c r="AD59" i="5"/>
  <c r="AC59" i="5"/>
  <c r="AB59" i="5"/>
  <c r="AA59" i="5"/>
  <c r="Z59" i="5"/>
  <c r="Y59" i="5"/>
  <c r="X59" i="5"/>
  <c r="W59" i="5"/>
  <c r="V59" i="5"/>
  <c r="U59" i="5"/>
  <c r="T59" i="5"/>
  <c r="S59" i="5"/>
  <c r="R59" i="5"/>
  <c r="Q59" i="5"/>
  <c r="P59" i="5"/>
  <c r="O59" i="5"/>
  <c r="N59" i="5"/>
  <c r="M59" i="5"/>
  <c r="L59" i="5"/>
  <c r="K59" i="5"/>
  <c r="J59" i="5"/>
  <c r="I59" i="5"/>
  <c r="H59" i="5"/>
  <c r="G59" i="5"/>
  <c r="F59" i="5"/>
  <c r="E59" i="5"/>
  <c r="Y58" i="5"/>
  <c r="T58" i="5"/>
  <c r="S58" i="5"/>
  <c r="Y57" i="5"/>
  <c r="T57" i="5"/>
  <c r="S57" i="5"/>
  <c r="Y56" i="5"/>
  <c r="T56" i="5"/>
  <c r="Y55" i="5"/>
  <c r="T55" i="5"/>
  <c r="Y54" i="5"/>
  <c r="T54" i="5"/>
  <c r="S54" i="5"/>
  <c r="Y53" i="5"/>
  <c r="T53" i="5"/>
  <c r="S53" i="5"/>
  <c r="Y52" i="5"/>
  <c r="T52" i="5"/>
  <c r="S52" i="5"/>
  <c r="X51" i="5"/>
  <c r="W51" i="5"/>
  <c r="V51" i="5"/>
  <c r="T51" i="5"/>
  <c r="S51" i="5"/>
  <c r="Y50" i="5"/>
  <c r="T50" i="5"/>
  <c r="V48" i="5"/>
  <c r="U48" i="5"/>
  <c r="T48" i="5"/>
  <c r="S48" i="5"/>
  <c r="R48" i="5"/>
  <c r="Q48" i="5"/>
  <c r="P48" i="5"/>
  <c r="O48" i="5"/>
  <c r="N48" i="5"/>
  <c r="M48" i="5"/>
  <c r="L48" i="5"/>
  <c r="K48" i="5"/>
  <c r="J48" i="5"/>
  <c r="I48" i="5"/>
  <c r="H48" i="5"/>
  <c r="G48" i="5"/>
  <c r="F48" i="5"/>
  <c r="E48" i="5"/>
  <c r="Y47" i="5"/>
  <c r="T47" i="5"/>
  <c r="S47" i="5"/>
  <c r="Y46" i="5"/>
  <c r="T46" i="5"/>
  <c r="S46" i="5"/>
  <c r="Y45" i="5"/>
  <c r="T45" i="5"/>
  <c r="S45" i="5"/>
  <c r="Y44" i="5"/>
  <c r="T44" i="5"/>
  <c r="Y43" i="5"/>
  <c r="T43" i="5"/>
  <c r="Y42" i="5"/>
  <c r="T42" i="5"/>
  <c r="S42" i="5"/>
  <c r="Y41" i="5"/>
  <c r="T41" i="5"/>
  <c r="S41" i="5"/>
  <c r="Y40" i="5"/>
  <c r="T40" i="5"/>
  <c r="S40" i="5"/>
  <c r="Y39" i="5"/>
  <c r="T39" i="5"/>
  <c r="Y38" i="5"/>
  <c r="T38" i="5"/>
  <c r="Y37" i="5"/>
  <c r="T37" i="5"/>
  <c r="Y36" i="5"/>
  <c r="T36" i="5"/>
  <c r="S36" i="5"/>
  <c r="Y35" i="5"/>
  <c r="T35" i="5"/>
  <c r="S35" i="5"/>
  <c r="Y34" i="5"/>
  <c r="T34" i="5"/>
  <c r="S34" i="5"/>
  <c r="Y33" i="5"/>
  <c r="T33" i="5"/>
  <c r="Y32" i="5"/>
  <c r="T32" i="5"/>
  <c r="S32" i="5"/>
  <c r="Y31" i="5"/>
  <c r="T31" i="5"/>
  <c r="Y30" i="5"/>
  <c r="X30" i="5"/>
  <c r="W30" i="5"/>
  <c r="V30" i="5"/>
  <c r="U30" i="5"/>
  <c r="T30" i="5"/>
  <c r="S30" i="5"/>
  <c r="V28" i="5"/>
  <c r="U28" i="5"/>
  <c r="T28" i="5"/>
  <c r="S28" i="5"/>
  <c r="R28" i="5"/>
  <c r="Q28" i="5"/>
  <c r="P28" i="5"/>
  <c r="O28" i="5"/>
  <c r="N28" i="5"/>
  <c r="M28" i="5"/>
  <c r="L28" i="5"/>
  <c r="K28" i="5"/>
  <c r="J28" i="5"/>
  <c r="I28" i="5"/>
  <c r="H28" i="5"/>
  <c r="G28" i="5"/>
  <c r="F28" i="5"/>
  <c r="E28" i="5"/>
  <c r="T27" i="5"/>
  <c r="T26" i="5"/>
  <c r="X25" i="5"/>
  <c r="W25" i="5"/>
  <c r="V25" i="5"/>
  <c r="T25" i="5"/>
  <c r="T24" i="5"/>
  <c r="T23" i="5"/>
  <c r="T22" i="5"/>
  <c r="T21" i="5"/>
  <c r="T20" i="5"/>
  <c r="T19" i="5"/>
  <c r="X18" i="5"/>
  <c r="W18" i="5"/>
  <c r="V18" i="5"/>
  <c r="T18" i="5"/>
  <c r="V16" i="5"/>
  <c r="U16" i="5"/>
  <c r="T16" i="5"/>
  <c r="S16" i="5"/>
  <c r="R16" i="5"/>
  <c r="Q16" i="5"/>
  <c r="P16" i="5"/>
  <c r="O16" i="5"/>
  <c r="N16" i="5"/>
  <c r="M16" i="5"/>
  <c r="L16" i="5"/>
  <c r="K16" i="5"/>
  <c r="J16" i="5"/>
  <c r="I16" i="5"/>
  <c r="H16" i="5"/>
  <c r="G16" i="5"/>
  <c r="F16" i="5"/>
  <c r="E16" i="5"/>
  <c r="Y15" i="5"/>
  <c r="T15" i="5"/>
  <c r="X14" i="5"/>
  <c r="W14" i="5"/>
  <c r="V14" i="5"/>
  <c r="T14" i="5"/>
  <c r="X13" i="5"/>
  <c r="W13" i="5"/>
  <c r="V13" i="5"/>
  <c r="T13" i="5"/>
  <c r="T12" i="5"/>
  <c r="U10" i="5"/>
  <c r="T10" i="5"/>
  <c r="S10" i="5"/>
  <c r="R10" i="5"/>
  <c r="Q10" i="5"/>
  <c r="P10" i="5"/>
  <c r="O10" i="5"/>
  <c r="N10" i="5"/>
  <c r="M10" i="5"/>
  <c r="L10" i="5"/>
  <c r="K10" i="5"/>
  <c r="J10" i="5"/>
  <c r="I10" i="5"/>
  <c r="H10" i="5"/>
  <c r="G10" i="5"/>
  <c r="F10" i="5"/>
  <c r="E10" i="5"/>
  <c r="T9" i="5"/>
  <c r="T8" i="5"/>
  <c r="T7" i="5"/>
  <c r="E364" i="11"/>
  <c r="D364" i="11"/>
  <c r="L361" i="11"/>
  <c r="L360" i="11"/>
  <c r="L359" i="11"/>
  <c r="L358" i="11"/>
  <c r="L357" i="11"/>
  <c r="L356" i="11"/>
  <c r="L355" i="11"/>
  <c r="L354" i="11"/>
  <c r="L353" i="11"/>
  <c r="L352" i="11"/>
  <c r="L351" i="11"/>
  <c r="L350" i="11"/>
  <c r="L349" i="11"/>
  <c r="L348" i="11"/>
  <c r="L347" i="11"/>
  <c r="L346" i="11"/>
  <c r="L345" i="11"/>
  <c r="L344" i="11"/>
  <c r="L343" i="11"/>
  <c r="L342" i="11"/>
  <c r="L341" i="11"/>
  <c r="L340" i="11"/>
  <c r="L339" i="11"/>
  <c r="L338" i="11"/>
  <c r="L337" i="11"/>
  <c r="L336" i="11"/>
  <c r="L335" i="11"/>
  <c r="L334" i="11"/>
  <c r="L333" i="11"/>
  <c r="L332" i="11"/>
  <c r="L331" i="11"/>
  <c r="L330" i="11"/>
  <c r="L329" i="11"/>
  <c r="L328" i="11"/>
  <c r="L327" i="11"/>
  <c r="L326" i="11"/>
  <c r="L325" i="11"/>
  <c r="L324" i="11"/>
  <c r="L323" i="11"/>
  <c r="L322" i="11"/>
  <c r="L321" i="11"/>
  <c r="L320" i="11"/>
  <c r="L319" i="11"/>
  <c r="L318" i="11"/>
  <c r="L317" i="11"/>
  <c r="L316" i="11"/>
  <c r="L315" i="11"/>
  <c r="L314" i="11"/>
  <c r="L313" i="11"/>
  <c r="L312" i="11"/>
  <c r="L311" i="11"/>
  <c r="L310" i="11"/>
  <c r="L309" i="11"/>
  <c r="L308" i="11"/>
  <c r="L307" i="11"/>
  <c r="L306" i="11"/>
  <c r="L305" i="11"/>
  <c r="L304" i="11"/>
  <c r="L303" i="11"/>
  <c r="L302" i="11"/>
  <c r="L301" i="11"/>
  <c r="L300" i="11"/>
  <c r="L299" i="11"/>
  <c r="L298" i="11"/>
  <c r="L297" i="11"/>
  <c r="L296" i="11"/>
  <c r="L295" i="11"/>
  <c r="L294" i="11"/>
  <c r="L293" i="11"/>
  <c r="L292" i="11"/>
  <c r="L291" i="11"/>
  <c r="L290" i="11"/>
  <c r="L289" i="11"/>
  <c r="L288" i="11"/>
  <c r="L287" i="11"/>
  <c r="L286" i="11"/>
  <c r="L285" i="11"/>
  <c r="L284" i="11"/>
  <c r="L283" i="11"/>
  <c r="L282" i="11"/>
  <c r="L281" i="11"/>
  <c r="L280" i="11"/>
  <c r="L279" i="11"/>
  <c r="L278" i="11"/>
  <c r="L277" i="11"/>
  <c r="L276" i="11"/>
  <c r="L275" i="11"/>
  <c r="L274" i="11"/>
  <c r="L273" i="11"/>
  <c r="L272" i="11"/>
  <c r="L271" i="11"/>
  <c r="L270" i="11"/>
  <c r="L269" i="11"/>
  <c r="L268" i="11"/>
  <c r="L267" i="11"/>
  <c r="L266" i="11"/>
  <c r="L265" i="11"/>
  <c r="L264" i="11"/>
  <c r="L263" i="11"/>
  <c r="L262" i="11"/>
  <c r="L261" i="11"/>
  <c r="L260" i="11"/>
  <c r="L259" i="11"/>
  <c r="L258" i="11"/>
  <c r="L257" i="11"/>
  <c r="L256" i="11"/>
  <c r="L255" i="11"/>
  <c r="L254" i="11"/>
  <c r="L253" i="11"/>
  <c r="L252" i="11"/>
  <c r="L251" i="11"/>
  <c r="L250" i="11"/>
  <c r="L249" i="11"/>
  <c r="L248" i="11"/>
  <c r="L247" i="11"/>
  <c r="L246" i="11"/>
  <c r="L245" i="11"/>
  <c r="L244" i="11"/>
  <c r="L243" i="11"/>
  <c r="L242" i="11"/>
  <c r="L241" i="11"/>
  <c r="L240" i="11"/>
  <c r="L239" i="11"/>
  <c r="L238" i="11"/>
  <c r="L237" i="11"/>
  <c r="L236" i="11"/>
  <c r="L235" i="11"/>
  <c r="L234" i="11"/>
  <c r="L233" i="11"/>
  <c r="L232" i="11"/>
  <c r="L231" i="11"/>
  <c r="L230" i="11"/>
  <c r="L229" i="11"/>
  <c r="L228" i="11"/>
  <c r="L227" i="11"/>
  <c r="L226" i="11"/>
  <c r="L225" i="11"/>
  <c r="L224" i="11"/>
  <c r="L223" i="11"/>
  <c r="L222" i="11"/>
  <c r="L221" i="11"/>
  <c r="L220" i="11"/>
  <c r="L219" i="11"/>
  <c r="L218" i="11"/>
  <c r="L217" i="11"/>
  <c r="L216" i="11"/>
  <c r="L215" i="11"/>
  <c r="L214" i="11"/>
  <c r="L213" i="11"/>
  <c r="L212" i="11"/>
  <c r="L211" i="11"/>
  <c r="L210" i="11"/>
  <c r="L209" i="11"/>
  <c r="L208" i="11"/>
  <c r="L207" i="11"/>
  <c r="L206" i="11"/>
  <c r="L205" i="11"/>
  <c r="L204" i="11"/>
  <c r="L203" i="11"/>
  <c r="L202" i="11"/>
  <c r="L201" i="11"/>
  <c r="L200" i="11"/>
  <c r="L199" i="11"/>
  <c r="L198" i="11"/>
  <c r="L197" i="11"/>
  <c r="L196" i="11"/>
  <c r="L195" i="11"/>
  <c r="L194" i="11"/>
  <c r="L193" i="11"/>
  <c r="L192" i="11"/>
  <c r="L191" i="11"/>
  <c r="L190" i="11"/>
  <c r="L189" i="11"/>
  <c r="L188" i="11"/>
  <c r="L187" i="11"/>
  <c r="L186" i="11"/>
  <c r="L185" i="11"/>
  <c r="L184" i="11"/>
  <c r="L183" i="11"/>
  <c r="L182" i="11"/>
  <c r="L181" i="11"/>
  <c r="L180" i="11"/>
  <c r="L179" i="11"/>
  <c r="L178" i="11"/>
  <c r="L177" i="11"/>
  <c r="L176" i="11"/>
  <c r="L175" i="11"/>
  <c r="L174" i="11"/>
  <c r="L173" i="11"/>
  <c r="L172" i="11"/>
  <c r="L171" i="11"/>
  <c r="L170" i="11"/>
  <c r="L169" i="11"/>
  <c r="L168" i="11"/>
  <c r="L167" i="11"/>
  <c r="L166" i="11"/>
  <c r="L165" i="11"/>
  <c r="L164" i="11"/>
  <c r="L163" i="11"/>
  <c r="L162" i="11"/>
  <c r="AC137" i="11"/>
  <c r="AB137" i="11"/>
  <c r="AA137" i="11"/>
  <c r="Z137" i="11"/>
  <c r="AC134" i="11"/>
  <c r="AB134" i="11"/>
  <c r="AA134" i="11"/>
  <c r="Z134" i="11"/>
  <c r="X134" i="11"/>
  <c r="W134" i="11"/>
  <c r="U134" i="11"/>
  <c r="F372" i="11" s="1"/>
  <c r="T134" i="11"/>
  <c r="O134" i="11"/>
  <c r="AC131" i="11"/>
  <c r="AC136" i="11" s="1"/>
  <c r="AB131" i="11"/>
  <c r="AB136" i="11" s="1"/>
  <c r="AA131" i="11"/>
  <c r="AA136" i="11" s="1"/>
  <c r="Z131" i="11"/>
  <c r="Z136" i="11" s="1"/>
  <c r="U131" i="11"/>
  <c r="F373" i="11" s="1"/>
  <c r="T131" i="11"/>
  <c r="T136" i="11" s="1"/>
  <c r="O131" i="11"/>
  <c r="U129" i="11"/>
  <c r="T129" i="11"/>
  <c r="O129" i="11"/>
  <c r="T123" i="11"/>
  <c r="AD121" i="11"/>
  <c r="AC121" i="11"/>
  <c r="AB121" i="11"/>
  <c r="AA121" i="11"/>
  <c r="Z121" i="11"/>
  <c r="X121" i="11"/>
  <c r="W121" i="11"/>
  <c r="V121" i="11"/>
  <c r="U121" i="11"/>
  <c r="T121" i="11"/>
  <c r="S121" i="11"/>
  <c r="R121" i="11"/>
  <c r="Q121" i="11"/>
  <c r="P121" i="11"/>
  <c r="O121" i="11"/>
  <c r="N121" i="11"/>
  <c r="M121" i="11"/>
  <c r="L121" i="11"/>
  <c r="K121" i="11"/>
  <c r="J121" i="11"/>
  <c r="I121" i="11"/>
  <c r="H121" i="11"/>
  <c r="G121" i="11"/>
  <c r="F121" i="11"/>
  <c r="E121" i="11"/>
  <c r="Y119" i="11"/>
  <c r="Y118" i="11"/>
  <c r="Y117" i="11"/>
  <c r="AD114" i="11"/>
  <c r="AC114" i="11"/>
  <c r="AB114" i="11"/>
  <c r="AA114" i="11"/>
  <c r="Z114" i="11"/>
  <c r="U114" i="11"/>
  <c r="T114" i="11"/>
  <c r="S114" i="11"/>
  <c r="R114" i="11"/>
  <c r="Q114" i="11"/>
  <c r="P114" i="11"/>
  <c r="O114" i="11"/>
  <c r="N114" i="11"/>
  <c r="M114" i="11"/>
  <c r="L114" i="11"/>
  <c r="K114" i="11"/>
  <c r="J114" i="11"/>
  <c r="I114" i="11"/>
  <c r="H114" i="11"/>
  <c r="G114" i="11"/>
  <c r="F114" i="11"/>
  <c r="E114" i="11"/>
  <c r="U109" i="11"/>
  <c r="T109" i="11"/>
  <c r="S109" i="11"/>
  <c r="R109" i="11"/>
  <c r="Q109" i="11"/>
  <c r="P109" i="11"/>
  <c r="O109" i="11"/>
  <c r="N109" i="11"/>
  <c r="M109" i="11"/>
  <c r="L109" i="11"/>
  <c r="K109" i="11"/>
  <c r="J109" i="11"/>
  <c r="I109" i="11"/>
  <c r="H109" i="11"/>
  <c r="G109" i="11"/>
  <c r="F109" i="11"/>
  <c r="E109" i="11"/>
  <c r="Y105" i="11"/>
  <c r="Y104" i="11"/>
  <c r="Y103" i="11"/>
  <c r="AD101" i="11"/>
  <c r="AC101" i="11"/>
  <c r="AB101" i="11"/>
  <c r="AA101" i="11"/>
  <c r="Z101" i="11"/>
  <c r="U101" i="11"/>
  <c r="T101" i="11"/>
  <c r="S101" i="11"/>
  <c r="R101" i="11"/>
  <c r="Q101" i="11"/>
  <c r="P101" i="11"/>
  <c r="O101" i="11"/>
  <c r="N101" i="11"/>
  <c r="M101" i="11"/>
  <c r="L101" i="11"/>
  <c r="K101" i="11"/>
  <c r="J101" i="11"/>
  <c r="I101" i="11"/>
  <c r="H101" i="11"/>
  <c r="G101" i="11"/>
  <c r="F101" i="11"/>
  <c r="E101" i="11"/>
  <c r="Y99" i="11"/>
  <c r="Y98" i="11"/>
  <c r="Y97" i="11"/>
  <c r="Y96" i="11"/>
  <c r="Y95" i="11"/>
  <c r="Y94" i="11"/>
  <c r="Y93" i="11"/>
  <c r="Y92" i="11"/>
  <c r="Y91" i="11"/>
  <c r="Y90" i="11"/>
  <c r="Y89" i="11"/>
  <c r="AD80" i="11"/>
  <c r="AC80" i="11"/>
  <c r="AB80" i="11"/>
  <c r="AA80" i="11"/>
  <c r="Z80" i="11"/>
  <c r="U80" i="11"/>
  <c r="T80" i="11"/>
  <c r="S80" i="11"/>
  <c r="R80" i="11"/>
  <c r="Q80" i="11"/>
  <c r="P80" i="11"/>
  <c r="O80" i="11"/>
  <c r="N80" i="11"/>
  <c r="M80" i="11"/>
  <c r="L80" i="11"/>
  <c r="K80" i="11"/>
  <c r="J80" i="11"/>
  <c r="I80" i="11"/>
  <c r="H80" i="11"/>
  <c r="G80" i="11"/>
  <c r="F80" i="11"/>
  <c r="E80" i="11"/>
  <c r="Y78" i="11"/>
  <c r="Y76" i="11"/>
  <c r="Y75" i="11"/>
  <c r="Y74" i="11"/>
  <c r="Y73" i="11"/>
  <c r="Y72" i="11"/>
  <c r="Y71" i="11"/>
  <c r="Y70" i="11"/>
  <c r="Y69" i="11"/>
  <c r="Y68" i="11"/>
  <c r="X67" i="11"/>
  <c r="W67" i="11"/>
  <c r="Y66" i="11"/>
  <c r="Y65" i="11"/>
  <c r="AC63" i="11"/>
  <c r="AB63" i="11"/>
  <c r="AA63" i="11"/>
  <c r="Z63" i="11"/>
  <c r="X63" i="11"/>
  <c r="W63" i="11"/>
  <c r="T63" i="11"/>
  <c r="S63" i="11"/>
  <c r="R63" i="11"/>
  <c r="Q63" i="11"/>
  <c r="P63" i="11"/>
  <c r="O63" i="11"/>
  <c r="N63" i="11"/>
  <c r="M63" i="11"/>
  <c r="L63" i="11"/>
  <c r="K63" i="11"/>
  <c r="J63" i="11"/>
  <c r="I63" i="11"/>
  <c r="H63" i="11"/>
  <c r="G63" i="11"/>
  <c r="F63" i="11"/>
  <c r="E63" i="11"/>
  <c r="Y61" i="11"/>
  <c r="U60" i="11"/>
  <c r="Y59" i="11"/>
  <c r="Y58" i="11"/>
  <c r="Y57" i="11"/>
  <c r="Y56" i="11"/>
  <c r="Y55" i="11"/>
  <c r="Y54" i="11"/>
  <c r="Y53" i="11"/>
  <c r="U52" i="11"/>
  <c r="Y52" i="11" s="1"/>
  <c r="Y51" i="11"/>
  <c r="Y50" i="11"/>
  <c r="Y46" i="11"/>
  <c r="Y45" i="11"/>
  <c r="Y44" i="11"/>
  <c r="Y43" i="11"/>
  <c r="Y42" i="11"/>
  <c r="O42" i="11"/>
  <c r="Y41" i="11"/>
  <c r="U40" i="11"/>
  <c r="Y39" i="11"/>
  <c r="Y38" i="11"/>
  <c r="Y37" i="11"/>
  <c r="Y36" i="11"/>
  <c r="Y35" i="11"/>
  <c r="X34" i="11"/>
  <c r="W34" i="11"/>
  <c r="Y33" i="11"/>
  <c r="U30" i="11"/>
  <c r="Y30" i="11" s="1"/>
  <c r="Y29" i="11"/>
  <c r="Y28" i="11"/>
  <c r="Y27" i="11"/>
  <c r="Y26" i="11"/>
  <c r="Y25" i="11"/>
  <c r="Y24" i="11"/>
  <c r="Y23" i="11"/>
  <c r="U22" i="11"/>
  <c r="U137" i="11" s="1"/>
  <c r="T22" i="11"/>
  <c r="T137" i="11" s="1"/>
  <c r="O22" i="11"/>
  <c r="O137" i="11" s="1"/>
  <c r="U19" i="11"/>
  <c r="Y19" i="11" s="1"/>
  <c r="T19" i="11"/>
  <c r="O19" i="11"/>
  <c r="Y18" i="11"/>
  <c r="Y17" i="11"/>
  <c r="AB31" i="11"/>
  <c r="AB47" i="11" s="1"/>
  <c r="AA31" i="11"/>
  <c r="AA47" i="11" s="1"/>
  <c r="Z31" i="11"/>
  <c r="Z47" i="11" s="1"/>
  <c r="S13" i="11"/>
  <c r="S20" i="11" s="1"/>
  <c r="R13" i="11"/>
  <c r="R20" i="11" s="1"/>
  <c r="Q13" i="11"/>
  <c r="Q20" i="11" s="1"/>
  <c r="P13" i="11"/>
  <c r="P20" i="11" s="1"/>
  <c r="N13" i="11"/>
  <c r="M13" i="11"/>
  <c r="L13" i="11"/>
  <c r="K13" i="11"/>
  <c r="J13" i="11"/>
  <c r="J20" i="11" s="1"/>
  <c r="J31" i="11" s="1"/>
  <c r="J47" i="11" s="1"/>
  <c r="I13" i="11"/>
  <c r="I20" i="11" s="1"/>
  <c r="I31" i="11" s="1"/>
  <c r="I47" i="11" s="1"/>
  <c r="H13" i="11"/>
  <c r="H20" i="11" s="1"/>
  <c r="H31" i="11" s="1"/>
  <c r="H47" i="11" s="1"/>
  <c r="G13" i="11"/>
  <c r="G20" i="11" s="1"/>
  <c r="G31" i="11" s="1"/>
  <c r="G47" i="11" s="1"/>
  <c r="F13" i="11"/>
  <c r="F20" i="11" s="1"/>
  <c r="F31" i="11" s="1"/>
  <c r="F47" i="11" s="1"/>
  <c r="E13" i="11"/>
  <c r="E20" i="11" s="1"/>
  <c r="E31" i="11" s="1"/>
  <c r="E47" i="11" s="1"/>
  <c r="O13" i="11"/>
  <c r="AB258" i="5"/>
  <c r="Z248" i="5"/>
  <c r="J27" i="2"/>
  <c r="J28" i="2" s="1"/>
  <c r="H27" i="2"/>
  <c r="H28" i="2" s="1"/>
  <c r="H29" i="2" s="1"/>
  <c r="K26" i="2"/>
  <c r="K27" i="2" s="1"/>
  <c r="J26" i="2"/>
  <c r="I26" i="2"/>
  <c r="H26" i="2"/>
  <c r="G26" i="2"/>
  <c r="F26" i="2"/>
  <c r="F27" i="2" s="1"/>
  <c r="F28" i="2" s="1"/>
  <c r="F29" i="2" s="1"/>
  <c r="E26" i="2"/>
  <c r="K11" i="2"/>
  <c r="K12" i="2" s="1"/>
  <c r="K13" i="2" s="1"/>
  <c r="K14" i="2" s="1"/>
  <c r="K15" i="2" s="1"/>
  <c r="J11" i="2"/>
  <c r="I11" i="2"/>
  <c r="G11" i="2"/>
  <c r="G12" i="2" s="1"/>
  <c r="G13" i="2" s="1"/>
  <c r="F11" i="2"/>
  <c r="H10" i="2"/>
  <c r="H11" i="2" s="1"/>
  <c r="H12" i="2" s="1"/>
  <c r="H13" i="2" s="1"/>
  <c r="H14" i="2" s="1"/>
  <c r="H15" i="2" s="1"/>
  <c r="E10" i="2"/>
  <c r="E11" i="2" s="1"/>
  <c r="E12" i="2" s="1"/>
  <c r="E13" i="2" s="1"/>
  <c r="E14" i="2" s="1"/>
  <c r="E15" i="2" s="1"/>
  <c r="H9" i="2"/>
  <c r="E9" i="2"/>
  <c r="H8" i="2"/>
  <c r="E8" i="2"/>
  <c r="H7" i="2"/>
  <c r="E7" i="2"/>
  <c r="H6" i="2"/>
  <c r="E6" i="2"/>
  <c r="H5" i="2"/>
  <c r="E5" i="2"/>
  <c r="H4" i="2"/>
  <c r="E4" i="2"/>
  <c r="R42" i="1"/>
  <c r="R43" i="1" s="1"/>
  <c r="Q42" i="1"/>
  <c r="Q41" i="1" s="1"/>
  <c r="P42" i="1"/>
  <c r="P41" i="1" s="1"/>
  <c r="O42" i="1"/>
  <c r="O41" i="1" s="1"/>
  <c r="S39" i="1"/>
  <c r="S42" i="1" s="1"/>
  <c r="N39" i="1"/>
  <c r="N36" i="1" s="1"/>
  <c r="N35" i="1" s="1"/>
  <c r="I39" i="1"/>
  <c r="Y360" i="11" s="1"/>
  <c r="R36" i="1"/>
  <c r="R35" i="1" s="1"/>
  <c r="Q36" i="1"/>
  <c r="Q35" i="1" s="1"/>
  <c r="P36" i="1"/>
  <c r="P37" i="1" s="1"/>
  <c r="O36" i="1"/>
  <c r="O37" i="1" s="1"/>
  <c r="AC269" i="5"/>
  <c r="AB270" i="5"/>
  <c r="AA271" i="5"/>
  <c r="Z272" i="5"/>
  <c r="R33" i="1"/>
  <c r="R32" i="1" s="1"/>
  <c r="Q33" i="1"/>
  <c r="Q34" i="1" s="1"/>
  <c r="P33" i="1"/>
  <c r="P34" i="1" s="1"/>
  <c r="O33" i="1"/>
  <c r="O34" i="1" s="1"/>
  <c r="AC266" i="5"/>
  <c r="AB266" i="5"/>
  <c r="AA266" i="5"/>
  <c r="Z266" i="5"/>
  <c r="R31" i="1"/>
  <c r="Q31" i="1"/>
  <c r="P31" i="1"/>
  <c r="O31" i="1"/>
  <c r="H31" i="1"/>
  <c r="G31" i="1"/>
  <c r="F31" i="1"/>
  <c r="S30" i="1"/>
  <c r="S31" i="1" s="1"/>
  <c r="N30" i="1"/>
  <c r="N33" i="1" s="1"/>
  <c r="I30" i="1"/>
  <c r="R29" i="1"/>
  <c r="Q29" i="1"/>
  <c r="P29" i="1"/>
  <c r="O29" i="1"/>
  <c r="N29" i="1"/>
  <c r="H29" i="1"/>
  <c r="G29" i="1"/>
  <c r="F29" i="1"/>
  <c r="R28" i="1"/>
  <c r="Q28" i="1"/>
  <c r="P28" i="1"/>
  <c r="O28" i="1"/>
  <c r="H28" i="1"/>
  <c r="G28" i="1"/>
  <c r="F28" i="1"/>
  <c r="S27" i="1"/>
  <c r="S26" i="1" s="1"/>
  <c r="N27" i="1"/>
  <c r="N28" i="1" s="1"/>
  <c r="I27" i="1"/>
  <c r="I28" i="1" s="1"/>
  <c r="R26" i="1"/>
  <c r="Q26" i="1"/>
  <c r="P26" i="1"/>
  <c r="O26" i="1"/>
  <c r="N26" i="1"/>
  <c r="H26" i="1"/>
  <c r="G26" i="1"/>
  <c r="F26" i="1"/>
  <c r="R25" i="1"/>
  <c r="Q25" i="1"/>
  <c r="P25" i="1"/>
  <c r="O25" i="1"/>
  <c r="H25" i="1"/>
  <c r="G25" i="1"/>
  <c r="F25" i="1"/>
  <c r="S24" i="1"/>
  <c r="S25" i="1" s="1"/>
  <c r="N24" i="1"/>
  <c r="N25" i="1" s="1"/>
  <c r="I24" i="1"/>
  <c r="I25" i="1" s="1"/>
  <c r="R23" i="1"/>
  <c r="Q23" i="1"/>
  <c r="P23" i="1"/>
  <c r="O23" i="1"/>
  <c r="H23" i="1"/>
  <c r="G23" i="1"/>
  <c r="F23" i="1"/>
  <c r="R19" i="1"/>
  <c r="Q19" i="1"/>
  <c r="P19" i="1"/>
  <c r="O19" i="1"/>
  <c r="M19" i="1"/>
  <c r="L19" i="1"/>
  <c r="K19" i="1"/>
  <c r="J19" i="1"/>
  <c r="H19" i="1"/>
  <c r="G19" i="1"/>
  <c r="F19" i="1"/>
  <c r="E19" i="1"/>
  <c r="S18" i="1"/>
  <c r="N18" i="1"/>
  <c r="N19" i="1" s="1"/>
  <c r="I18" i="1"/>
  <c r="I19" i="1" s="1"/>
  <c r="R17" i="1"/>
  <c r="Q17" i="1"/>
  <c r="P17" i="1"/>
  <c r="O17" i="1"/>
  <c r="M17" i="1"/>
  <c r="L17" i="1"/>
  <c r="K17" i="1"/>
  <c r="J17" i="1"/>
  <c r="H17" i="1"/>
  <c r="G17" i="1"/>
  <c r="F17" i="1"/>
  <c r="E17" i="1"/>
  <c r="R16" i="1"/>
  <c r="Q16" i="1"/>
  <c r="P16" i="1"/>
  <c r="O16" i="1"/>
  <c r="M16" i="1"/>
  <c r="L16" i="1"/>
  <c r="K16" i="1"/>
  <c r="J16" i="1"/>
  <c r="H16" i="1"/>
  <c r="G16" i="1"/>
  <c r="F16" i="1"/>
  <c r="E16" i="1"/>
  <c r="S15" i="1"/>
  <c r="S14" i="1" s="1"/>
  <c r="N15" i="1"/>
  <c r="N16" i="1" s="1"/>
  <c r="I15" i="1"/>
  <c r="I16" i="1" s="1"/>
  <c r="R14" i="1"/>
  <c r="Q14" i="1"/>
  <c r="P14" i="1"/>
  <c r="O14" i="1"/>
  <c r="N14" i="1"/>
  <c r="M14" i="1"/>
  <c r="L14" i="1"/>
  <c r="K14" i="1"/>
  <c r="J14" i="1"/>
  <c r="H14" i="1"/>
  <c r="G14" i="1"/>
  <c r="F14" i="1"/>
  <c r="E14" i="1"/>
  <c r="R12" i="1"/>
  <c r="R13" i="1" s="1"/>
  <c r="Q12" i="1"/>
  <c r="Q13" i="1" s="1"/>
  <c r="P12" i="1"/>
  <c r="P13" i="1" s="1"/>
  <c r="O12" i="1"/>
  <c r="O13" i="1" s="1"/>
  <c r="N12" i="1"/>
  <c r="N13" i="1" s="1"/>
  <c r="M12" i="1"/>
  <c r="L12" i="1"/>
  <c r="AB154" i="8" s="1"/>
  <c r="K12" i="1"/>
  <c r="AA155" i="8" s="1"/>
  <c r="J12" i="1"/>
  <c r="Z155" i="8" s="1"/>
  <c r="H12" i="1"/>
  <c r="X153" i="8" s="1"/>
  <c r="G12" i="1"/>
  <c r="F12" i="1"/>
  <c r="V154" i="8" s="1"/>
  <c r="E12" i="1"/>
  <c r="U154" i="8" s="1"/>
  <c r="P11" i="1"/>
  <c r="R10" i="1"/>
  <c r="Q10" i="1"/>
  <c r="P10" i="1"/>
  <c r="O10" i="1"/>
  <c r="M10" i="1"/>
  <c r="L10" i="1"/>
  <c r="K10" i="1"/>
  <c r="J10" i="1"/>
  <c r="H10" i="1"/>
  <c r="G10" i="1"/>
  <c r="F10" i="1"/>
  <c r="E10" i="1"/>
  <c r="S9" i="1"/>
  <c r="S8" i="1" s="1"/>
  <c r="N9" i="1"/>
  <c r="N10" i="1" s="1"/>
  <c r="I9" i="1"/>
  <c r="I10" i="1" s="1"/>
  <c r="R8" i="1"/>
  <c r="Q8" i="1"/>
  <c r="P8" i="1"/>
  <c r="O8" i="1"/>
  <c r="N8" i="1"/>
  <c r="M8" i="1"/>
  <c r="L8" i="1"/>
  <c r="K8" i="1"/>
  <c r="J8" i="1"/>
  <c r="H8" i="1"/>
  <c r="G8" i="1"/>
  <c r="F8" i="1"/>
  <c r="E8" i="1"/>
  <c r="R7" i="1"/>
  <c r="Q7" i="1"/>
  <c r="P7" i="1"/>
  <c r="O7" i="1"/>
  <c r="M7" i="1"/>
  <c r="L7" i="1"/>
  <c r="K7" i="1"/>
  <c r="J7" i="1"/>
  <c r="H7" i="1"/>
  <c r="G7" i="1"/>
  <c r="F7" i="1"/>
  <c r="E7" i="1"/>
  <c r="S6" i="1"/>
  <c r="N6" i="1"/>
  <c r="N7" i="1" s="1"/>
  <c r="I6" i="1"/>
  <c r="I5" i="1" s="1"/>
  <c r="R5" i="1"/>
  <c r="Q5" i="1"/>
  <c r="P5" i="1"/>
  <c r="O5" i="1"/>
  <c r="M5" i="1"/>
  <c r="L5" i="1"/>
  <c r="K5" i="1"/>
  <c r="J5" i="1"/>
  <c r="H5" i="1"/>
  <c r="G5" i="1"/>
  <c r="F5" i="1"/>
  <c r="E5" i="1"/>
  <c r="D36" i="3" a="1"/>
  <c r="D36" i="3" s="1"/>
  <c r="D35" i="3"/>
  <c r="R74" i="7" s="1"/>
  <c r="D35" i="3" a="1"/>
  <c r="H32" i="3"/>
  <c r="I32" i="3" s="1"/>
  <c r="H32" i="3" a="1"/>
  <c r="G32" i="3"/>
  <c r="G32" i="3" a="1"/>
  <c r="F32" i="3"/>
  <c r="F32" i="3" a="1"/>
  <c r="E32" i="3"/>
  <c r="E32" i="3" a="1"/>
  <c r="D32" i="3"/>
  <c r="D32" i="3" a="1"/>
  <c r="H31" i="3" a="1"/>
  <c r="H31" i="3" s="1"/>
  <c r="I31" i="3" s="1"/>
  <c r="G31" i="3" a="1"/>
  <c r="G31" i="3" s="1"/>
  <c r="F31" i="3"/>
  <c r="F31" i="3" a="1"/>
  <c r="E31" i="3" a="1"/>
  <c r="E31" i="3" s="1"/>
  <c r="D31" i="3" a="1"/>
  <c r="D31" i="3" s="1"/>
  <c r="I30" i="3"/>
  <c r="H30" i="3"/>
  <c r="H30" i="3" a="1"/>
  <c r="G30" i="3"/>
  <c r="G30" i="3" a="1"/>
  <c r="F30" i="3"/>
  <c r="F30" i="3" a="1"/>
  <c r="E30" i="3"/>
  <c r="E30" i="3" a="1"/>
  <c r="D30" i="3"/>
  <c r="D30" i="3" a="1"/>
  <c r="E27" i="3"/>
  <c r="E27" i="3" a="1"/>
  <c r="H26" i="3"/>
  <c r="I26" i="3" s="1"/>
  <c r="H26" i="3" a="1"/>
  <c r="G26" i="3"/>
  <c r="G26" i="3" a="1"/>
  <c r="F26" i="3"/>
  <c r="F26" i="3" a="1"/>
  <c r="E26" i="3"/>
  <c r="E26" i="3" a="1"/>
  <c r="D26" i="3"/>
  <c r="D26" i="3" a="1"/>
  <c r="H25" i="3" a="1"/>
  <c r="H25" i="3" s="1"/>
  <c r="I25" i="3" s="1"/>
  <c r="G25" i="3"/>
  <c r="G25" i="3" a="1"/>
  <c r="F25" i="3" a="1"/>
  <c r="F25" i="3" s="1"/>
  <c r="E25" i="3" a="1"/>
  <c r="E25" i="3" s="1"/>
  <c r="D25" i="3"/>
  <c r="D25" i="3" a="1"/>
  <c r="H24" i="3"/>
  <c r="I24" i="3" s="1"/>
  <c r="H24" i="3" a="1"/>
  <c r="G24" i="3"/>
  <c r="G24" i="3" a="1"/>
  <c r="F24" i="3"/>
  <c r="F24" i="3" a="1"/>
  <c r="E24" i="3"/>
  <c r="E24" i="3" a="1"/>
  <c r="D24" i="3"/>
  <c r="D24" i="3" a="1"/>
  <c r="H22" i="3" a="1"/>
  <c r="H22" i="3" s="1"/>
  <c r="I22" i="3" s="1"/>
  <c r="G22" i="3" a="1"/>
  <c r="G22" i="3" s="1"/>
  <c r="F22" i="3"/>
  <c r="F22" i="3" a="1"/>
  <c r="E22" i="3" a="1"/>
  <c r="E22" i="3" s="1"/>
  <c r="D22" i="3" a="1"/>
  <c r="D22" i="3" s="1"/>
  <c r="I21" i="3"/>
  <c r="H21" i="3"/>
  <c r="H21" i="3" a="1"/>
  <c r="G21" i="3"/>
  <c r="G21" i="3" a="1"/>
  <c r="F21" i="3"/>
  <c r="F21" i="3" a="1"/>
  <c r="E21" i="3"/>
  <c r="E21" i="3" a="1"/>
  <c r="D21" i="3"/>
  <c r="D21" i="3" a="1"/>
  <c r="I20" i="3"/>
  <c r="H20" i="3"/>
  <c r="H20" i="3" a="1"/>
  <c r="G20" i="3" a="1"/>
  <c r="G20" i="3" s="1"/>
  <c r="F20" i="3" a="1"/>
  <c r="F20" i="3" s="1"/>
  <c r="E20" i="3"/>
  <c r="E20" i="3" a="1"/>
  <c r="D20" i="3" a="1"/>
  <c r="D20" i="3" s="1"/>
  <c r="I19" i="3"/>
  <c r="J19" i="3" s="1"/>
  <c r="H19" i="3"/>
  <c r="H19" i="3" a="1"/>
  <c r="G19" i="3" a="1"/>
  <c r="G19" i="3" s="1"/>
  <c r="F19" i="3" a="1"/>
  <c r="F19" i="3" s="1"/>
  <c r="E19" i="3"/>
  <c r="E19" i="3" a="1"/>
  <c r="D19" i="3" a="1"/>
  <c r="D19" i="3" s="1"/>
  <c r="H18" i="3"/>
  <c r="I18" i="3" s="1"/>
  <c r="H18" i="3" a="1"/>
  <c r="G18" i="3"/>
  <c r="G18" i="3" a="1"/>
  <c r="F18" i="3"/>
  <c r="F18" i="3" a="1"/>
  <c r="E18" i="3"/>
  <c r="E18" i="3" a="1"/>
  <c r="D18" i="3"/>
  <c r="D18" i="3" a="1"/>
  <c r="H17" i="3"/>
  <c r="I17" i="3" s="1"/>
  <c r="J17" i="3" s="1"/>
  <c r="H17" i="3" a="1"/>
  <c r="G17" i="3"/>
  <c r="G17" i="3" a="1"/>
  <c r="F17" i="3"/>
  <c r="F17" i="3" a="1"/>
  <c r="E17" i="3"/>
  <c r="E17" i="3" a="1"/>
  <c r="D17" i="3"/>
  <c r="D17" i="3" a="1"/>
  <c r="H15" i="3" a="1"/>
  <c r="H15" i="3" s="1"/>
  <c r="I15" i="3" s="1"/>
  <c r="G15" i="3"/>
  <c r="G15" i="3" a="1"/>
  <c r="F15" i="3" a="1"/>
  <c r="F15" i="3" s="1"/>
  <c r="E15" i="3" a="1"/>
  <c r="E15" i="3" s="1"/>
  <c r="D15" i="3"/>
  <c r="D15" i="3" a="1"/>
  <c r="H14" i="3"/>
  <c r="I14" i="3" s="1"/>
  <c r="H14" i="3" a="1"/>
  <c r="G14" i="3"/>
  <c r="G14" i="3" a="1"/>
  <c r="F14" i="3"/>
  <c r="F14" i="3" a="1"/>
  <c r="E14" i="3" a="1"/>
  <c r="E14" i="3" s="1"/>
  <c r="D14" i="3"/>
  <c r="D14" i="3" a="1"/>
  <c r="H13" i="3" a="1"/>
  <c r="H13" i="3" s="1"/>
  <c r="I13" i="3" s="1"/>
  <c r="G13" i="3" a="1"/>
  <c r="G13" i="3" s="1"/>
  <c r="F13" i="3"/>
  <c r="F13" i="3" a="1"/>
  <c r="E13" i="3" a="1"/>
  <c r="E13" i="3" s="1"/>
  <c r="D13" i="3" a="1"/>
  <c r="D13" i="3" s="1"/>
  <c r="I12" i="3"/>
  <c r="H12" i="3"/>
  <c r="H12" i="3" a="1"/>
  <c r="G12" i="3"/>
  <c r="G12" i="3" a="1"/>
  <c r="F12" i="3"/>
  <c r="F12" i="3" a="1"/>
  <c r="E12" i="3"/>
  <c r="E12" i="3" a="1"/>
  <c r="D12" i="3" a="1"/>
  <c r="D12" i="3" s="1"/>
  <c r="I11" i="3"/>
  <c r="H11" i="3"/>
  <c r="H11" i="3" a="1"/>
  <c r="G11" i="3" a="1"/>
  <c r="G11" i="3" s="1"/>
  <c r="F11" i="3" a="1"/>
  <c r="F11" i="3" s="1"/>
  <c r="E11" i="3"/>
  <c r="E11" i="3" a="1"/>
  <c r="D11" i="3" a="1"/>
  <c r="D11" i="3" s="1"/>
  <c r="H10" i="3" a="1"/>
  <c r="H10" i="3" s="1"/>
  <c r="I10" i="3" s="1"/>
  <c r="G10" i="3"/>
  <c r="G10" i="3" a="1"/>
  <c r="F10" i="3"/>
  <c r="F10" i="3" a="1"/>
  <c r="E10" i="3" a="1"/>
  <c r="E10" i="3" s="1"/>
  <c r="D10" i="3"/>
  <c r="D10" i="3" a="1"/>
  <c r="H9" i="3" a="1"/>
  <c r="H9" i="3" s="1"/>
  <c r="I9" i="3" s="1"/>
  <c r="G9" i="3"/>
  <c r="G9" i="3" a="1"/>
  <c r="F9" i="3" a="1"/>
  <c r="F9" i="3" s="1"/>
  <c r="E9" i="3" a="1"/>
  <c r="E9" i="3" s="1"/>
  <c r="D9" i="3"/>
  <c r="D9" i="3" a="1"/>
  <c r="H8" i="3"/>
  <c r="I8" i="3" s="1"/>
  <c r="H8" i="3" a="1"/>
  <c r="G8" i="3" a="1"/>
  <c r="G8" i="3" s="1"/>
  <c r="F8" i="3"/>
  <c r="F8" i="3" a="1"/>
  <c r="E8" i="3" a="1"/>
  <c r="E8" i="3" s="1"/>
  <c r="D8" i="3" a="1"/>
  <c r="D8" i="3" s="1"/>
  <c r="H7" i="3" a="1"/>
  <c r="H7" i="3" s="1"/>
  <c r="I7" i="3" s="1"/>
  <c r="G7" i="3" a="1"/>
  <c r="G7" i="3" s="1"/>
  <c r="F7" i="3"/>
  <c r="F7" i="3" a="1"/>
  <c r="E7" i="3" a="1"/>
  <c r="E7" i="3" s="1"/>
  <c r="D7" i="3" a="1"/>
  <c r="D7" i="3" s="1"/>
  <c r="I6" i="3"/>
  <c r="H6" i="3"/>
  <c r="H6" i="3" a="1"/>
  <c r="G6" i="3"/>
  <c r="G6" i="3" a="1"/>
  <c r="F6" i="3" a="1"/>
  <c r="F6" i="3" s="1"/>
  <c r="E6" i="3"/>
  <c r="E6" i="3" a="1"/>
  <c r="D6" i="3" a="1"/>
  <c r="D6" i="3" s="1"/>
  <c r="H5" i="3"/>
  <c r="I5" i="3" s="1"/>
  <c r="H5" i="3" a="1"/>
  <c r="G5" i="3" a="1"/>
  <c r="G5" i="3" s="1"/>
  <c r="F5" i="3" a="1"/>
  <c r="F5" i="3" s="1"/>
  <c r="E5" i="3"/>
  <c r="E5" i="3" a="1"/>
  <c r="D5" i="3" a="1"/>
  <c r="D5" i="3" s="1"/>
  <c r="O16" i="10" l="1"/>
  <c r="P43" i="1"/>
  <c r="Q37" i="1"/>
  <c r="Q32" i="1"/>
  <c r="O43" i="1"/>
  <c r="P35" i="1"/>
  <c r="R34" i="1"/>
  <c r="O35" i="1"/>
  <c r="Q43" i="1"/>
  <c r="O32" i="1"/>
  <c r="R41" i="1"/>
  <c r="R37" i="1"/>
  <c r="S28" i="1"/>
  <c r="Z7" i="7"/>
  <c r="W7" i="7"/>
  <c r="W12" i="7" s="1"/>
  <c r="W17" i="7" s="1"/>
  <c r="W28" i="7" s="1"/>
  <c r="W36" i="7" s="1"/>
  <c r="W38" i="7" s="1"/>
  <c r="W40" i="7" s="1"/>
  <c r="U7" i="7"/>
  <c r="Y7" i="7" s="1"/>
  <c r="Y12" i="7" s="1"/>
  <c r="Y17" i="7" s="1"/>
  <c r="Y28" i="7" s="1"/>
  <c r="AB7" i="7"/>
  <c r="AB12" i="7" s="1"/>
  <c r="AB17" i="7" s="1"/>
  <c r="AB28" i="7" s="1"/>
  <c r="AB36" i="7" s="1"/>
  <c r="AB38" i="7" s="1"/>
  <c r="AB40" i="7" s="1"/>
  <c r="F11" i="1"/>
  <c r="AA7" i="7"/>
  <c r="AA12" i="7" s="1"/>
  <c r="AA17" i="7" s="1"/>
  <c r="AA28" i="7" s="1"/>
  <c r="AA36" i="7" s="1"/>
  <c r="AA38" i="7" s="1"/>
  <c r="AA40" i="7" s="1"/>
  <c r="X7" i="7"/>
  <c r="X12" i="7" s="1"/>
  <c r="X17" i="7" s="1"/>
  <c r="X28" i="7" s="1"/>
  <c r="X36" i="7" s="1"/>
  <c r="X38" i="7" s="1"/>
  <c r="X40" i="7" s="1"/>
  <c r="V7" i="7"/>
  <c r="V12" i="7" s="1"/>
  <c r="V17" i="7" s="1"/>
  <c r="V28" i="7" s="1"/>
  <c r="V36" i="7" s="1"/>
  <c r="F37" i="2" a="1"/>
  <c r="F37" i="2" s="1"/>
  <c r="K28" i="2"/>
  <c r="K29" i="2" s="1"/>
  <c r="J29" i="2"/>
  <c r="F48" i="2" s="1" a="1"/>
  <c r="F46" i="2" a="1"/>
  <c r="I27" i="2"/>
  <c r="I28" i="2" s="1"/>
  <c r="I29" i="2" s="1"/>
  <c r="F44" i="2" a="1"/>
  <c r="E27" i="2"/>
  <c r="E28" i="2" s="1"/>
  <c r="E29" i="2" s="1"/>
  <c r="G27" i="2"/>
  <c r="G28" i="2" s="1"/>
  <c r="G29" i="2" s="1"/>
  <c r="O15" i="10"/>
  <c r="O19" i="10"/>
  <c r="O22" i="10" s="1"/>
  <c r="I31" i="1"/>
  <c r="I33" i="1"/>
  <c r="N23" i="1"/>
  <c r="N34" i="1"/>
  <c r="N32" i="1"/>
  <c r="N31" i="1"/>
  <c r="N37" i="1"/>
  <c r="N38" i="1"/>
  <c r="N40" i="1"/>
  <c r="N113" i="6"/>
  <c r="H113" i="6"/>
  <c r="M113" i="6"/>
  <c r="G113" i="6"/>
  <c r="R113" i="6"/>
  <c r="L113" i="6"/>
  <c r="F113" i="6"/>
  <c r="Q113" i="6"/>
  <c r="K113" i="6"/>
  <c r="E113" i="6"/>
  <c r="P113" i="6"/>
  <c r="J113" i="6"/>
  <c r="D113" i="6"/>
  <c r="O113" i="6"/>
  <c r="I113" i="6"/>
  <c r="F112" i="4"/>
  <c r="L112" i="4"/>
  <c r="R112" i="4"/>
  <c r="M74" i="7"/>
  <c r="S74" i="7"/>
  <c r="G112" i="4"/>
  <c r="M112" i="4"/>
  <c r="S112" i="4"/>
  <c r="N74" i="7"/>
  <c r="T74" i="7"/>
  <c r="H112" i="4"/>
  <c r="N112" i="4"/>
  <c r="T112" i="4"/>
  <c r="O74" i="7"/>
  <c r="I112" i="4"/>
  <c r="O112" i="4"/>
  <c r="U112" i="4"/>
  <c r="J74" i="7"/>
  <c r="P74" i="7"/>
  <c r="D112" i="4"/>
  <c r="J112" i="4"/>
  <c r="P112" i="4"/>
  <c r="K74" i="7"/>
  <c r="Q74" i="7"/>
  <c r="E112" i="4"/>
  <c r="K112" i="4"/>
  <c r="Q112" i="4"/>
  <c r="L74" i="7"/>
  <c r="V12" i="11"/>
  <c r="T20" i="11"/>
  <c r="T31" i="11" s="1"/>
  <c r="T47" i="11" s="1"/>
  <c r="T82" i="11" s="1"/>
  <c r="O20" i="11"/>
  <c r="O31" i="11" s="1"/>
  <c r="O127" i="11" s="1"/>
  <c r="U20" i="11"/>
  <c r="U31" i="11" s="1"/>
  <c r="U127" i="11" s="1"/>
  <c r="N20" i="11"/>
  <c r="N31" i="11" s="1"/>
  <c r="N47" i="11" s="1"/>
  <c r="N82" i="11" s="1"/>
  <c r="Q31" i="11"/>
  <c r="Q47" i="11" s="1"/>
  <c r="Q82" i="11" s="1"/>
  <c r="R31" i="11"/>
  <c r="R47" i="11" s="1"/>
  <c r="R82" i="11" s="1"/>
  <c r="L20" i="11"/>
  <c r="L31" i="11" s="1"/>
  <c r="L47" i="11" s="1"/>
  <c r="L82" i="11" s="1"/>
  <c r="S31" i="11"/>
  <c r="S47" i="11" s="1"/>
  <c r="S82" i="11" s="1"/>
  <c r="P31" i="11"/>
  <c r="P47" i="11" s="1"/>
  <c r="P82" i="11" s="1"/>
  <c r="K20" i="11"/>
  <c r="K31" i="11" s="1"/>
  <c r="K47" i="11" s="1"/>
  <c r="K82" i="11" s="1"/>
  <c r="M20" i="11"/>
  <c r="M31" i="11" s="1"/>
  <c r="M47" i="11" s="1"/>
  <c r="M82" i="11" s="1"/>
  <c r="V136" i="11"/>
  <c r="V101" i="11"/>
  <c r="AC31" i="11"/>
  <c r="AC47" i="11" s="1"/>
  <c r="AC82" i="11" s="1"/>
  <c r="AD20" i="11"/>
  <c r="AD31" i="11" s="1"/>
  <c r="AD47" i="11" s="1"/>
  <c r="AD82" i="11" s="1"/>
  <c r="Y22" i="11"/>
  <c r="T124" i="11"/>
  <c r="P124" i="11"/>
  <c r="Y134" i="11"/>
  <c r="Y121" i="11"/>
  <c r="I38" i="1"/>
  <c r="Y359" i="11"/>
  <c r="I40" i="1"/>
  <c r="R11" i="1"/>
  <c r="N42" i="1"/>
  <c r="Y361" i="11"/>
  <c r="Z268" i="5"/>
  <c r="AA273" i="5"/>
  <c r="S10" i="1"/>
  <c r="J13" i="1"/>
  <c r="I36" i="1"/>
  <c r="Y357" i="11"/>
  <c r="AA267" i="5"/>
  <c r="AC7" i="7"/>
  <c r="AC12" i="7" s="1"/>
  <c r="AC17" i="7" s="1"/>
  <c r="AC28" i="7" s="1"/>
  <c r="AC36" i="7" s="1"/>
  <c r="AC38" i="7" s="1"/>
  <c r="AC40" i="7" s="1"/>
  <c r="Y355" i="11"/>
  <c r="J11" i="1"/>
  <c r="Y353" i="11"/>
  <c r="AC271" i="5"/>
  <c r="AB272" i="5"/>
  <c r="E11" i="1"/>
  <c r="U153" i="8" s="1"/>
  <c r="Q11" i="1"/>
  <c r="K13" i="1"/>
  <c r="I23" i="1"/>
  <c r="I29" i="1"/>
  <c r="I42" i="1"/>
  <c r="Z267" i="5"/>
  <c r="AC270" i="5"/>
  <c r="AB271" i="5"/>
  <c r="AA272" i="5"/>
  <c r="Z273" i="5"/>
  <c r="I17" i="1"/>
  <c r="AB267" i="5"/>
  <c r="Z269" i="5"/>
  <c r="AC272" i="5"/>
  <c r="AB273" i="5"/>
  <c r="K11" i="1"/>
  <c r="S12" i="1"/>
  <c r="S13" i="1" s="1"/>
  <c r="S16" i="1"/>
  <c r="I26" i="1"/>
  <c r="S33" i="1"/>
  <c r="AC267" i="5"/>
  <c r="AB268" i="5"/>
  <c r="AA269" i="5"/>
  <c r="Z270" i="5"/>
  <c r="AC273" i="5"/>
  <c r="I7" i="1"/>
  <c r="S36" i="1"/>
  <c r="L11" i="1"/>
  <c r="E13" i="1"/>
  <c r="S23" i="1"/>
  <c r="S29" i="1"/>
  <c r="AC268" i="5"/>
  <c r="AB269" i="5"/>
  <c r="AA270" i="5"/>
  <c r="Z271" i="5"/>
  <c r="Y352" i="11"/>
  <c r="Y354" i="11"/>
  <c r="Y356" i="11"/>
  <c r="Y358" i="11"/>
  <c r="V38" i="7"/>
  <c r="V40" i="7" s="1"/>
  <c r="Y36" i="7"/>
  <c r="Y38" i="7" s="1"/>
  <c r="S19" i="1"/>
  <c r="S17" i="1"/>
  <c r="Z12" i="7"/>
  <c r="Z17" i="7" s="1"/>
  <c r="Z28" i="7" s="1"/>
  <c r="Z36" i="7" s="1"/>
  <c r="U12" i="7"/>
  <c r="U17" i="7" s="1"/>
  <c r="S7" i="1"/>
  <c r="S5" i="1"/>
  <c r="AC154" i="8"/>
  <c r="AC151" i="8"/>
  <c r="AC153" i="8"/>
  <c r="AC155" i="8"/>
  <c r="AC152" i="8"/>
  <c r="M13" i="1"/>
  <c r="M11" i="1"/>
  <c r="W153" i="8"/>
  <c r="W155" i="8"/>
  <c r="W152" i="8"/>
  <c r="G13" i="1"/>
  <c r="G11" i="1"/>
  <c r="W154" i="8"/>
  <c r="W151" i="8"/>
  <c r="I8" i="1"/>
  <c r="I12" i="1"/>
  <c r="F13" i="1"/>
  <c r="L13" i="1"/>
  <c r="I14" i="1"/>
  <c r="U152" i="8"/>
  <c r="AB152" i="8"/>
  <c r="Z153" i="8"/>
  <c r="U155" i="8"/>
  <c r="AB155" i="8"/>
  <c r="X151" i="8"/>
  <c r="V152" i="8"/>
  <c r="AA153" i="8"/>
  <c r="X154" i="8"/>
  <c r="V155" i="8"/>
  <c r="N5" i="1"/>
  <c r="H11" i="1"/>
  <c r="N11" i="1"/>
  <c r="H13" i="1"/>
  <c r="N17" i="1"/>
  <c r="Z151" i="8"/>
  <c r="AB153" i="8"/>
  <c r="Z154" i="8"/>
  <c r="O11" i="1"/>
  <c r="AA151" i="8"/>
  <c r="X152" i="8"/>
  <c r="V153" i="8"/>
  <c r="AA154" i="8"/>
  <c r="X155" i="8"/>
  <c r="U151" i="8"/>
  <c r="AB151" i="8"/>
  <c r="Z152" i="8"/>
  <c r="V151" i="8"/>
  <c r="AA152" i="8"/>
  <c r="F34" i="2" a="1"/>
  <c r="G34" i="2" s="1"/>
  <c r="G14" i="2"/>
  <c r="G15" i="2" s="1"/>
  <c r="F40" i="2" a="1"/>
  <c r="J12" i="2"/>
  <c r="J13" i="2" s="1"/>
  <c r="J14" i="2" s="1"/>
  <c r="J15" i="2" s="1"/>
  <c r="F12" i="2"/>
  <c r="F13" i="2" s="1"/>
  <c r="F14" i="2" s="1"/>
  <c r="F15" i="2" s="1"/>
  <c r="I12" i="2"/>
  <c r="I13" i="2" s="1"/>
  <c r="I14" i="2" s="1"/>
  <c r="I15" i="2" s="1"/>
  <c r="V91" i="4"/>
  <c r="V116" i="4"/>
  <c r="V117" i="4" s="1"/>
  <c r="V22" i="4" s="1"/>
  <c r="AC240" i="5"/>
  <c r="AA236" i="5"/>
  <c r="AB247" i="5"/>
  <c r="Z237" i="5"/>
  <c r="AA248" i="5"/>
  <c r="AA259" i="5"/>
  <c r="X238" i="5"/>
  <c r="Z249" i="5"/>
  <c r="Z260" i="5"/>
  <c r="W239" i="5"/>
  <c r="Z253" i="5"/>
  <c r="X261" i="5"/>
  <c r="G21" i="10"/>
  <c r="X246" i="5" s="1"/>
  <c r="V240" i="5"/>
  <c r="X254" i="5"/>
  <c r="G26" i="10"/>
  <c r="AB236" i="5"/>
  <c r="AA237" i="5"/>
  <c r="Z238" i="5"/>
  <c r="X239" i="5"/>
  <c r="W240" i="5"/>
  <c r="V247" i="5"/>
  <c r="AC247" i="5"/>
  <c r="AB248" i="5"/>
  <c r="AA249" i="5"/>
  <c r="AA253" i="5"/>
  <c r="Z254" i="5"/>
  <c r="V258" i="5"/>
  <c r="AB259" i="5"/>
  <c r="AA260" i="5"/>
  <c r="Z261" i="5"/>
  <c r="V236" i="5"/>
  <c r="AC236" i="5"/>
  <c r="AB237" i="5"/>
  <c r="AA238" i="5"/>
  <c r="Z239" i="5"/>
  <c r="X240" i="5"/>
  <c r="W247" i="5"/>
  <c r="V248" i="5"/>
  <c r="AC248" i="5"/>
  <c r="AB249" i="5"/>
  <c r="AB253" i="5"/>
  <c r="AA254" i="5"/>
  <c r="V259" i="5"/>
  <c r="AC259" i="5"/>
  <c r="AB260" i="5"/>
  <c r="AA261" i="5"/>
  <c r="W236" i="5"/>
  <c r="V237" i="5"/>
  <c r="AC237" i="5"/>
  <c r="AB238" i="5"/>
  <c r="AA239" i="5"/>
  <c r="Z240" i="5"/>
  <c r="X247" i="5"/>
  <c r="W248" i="5"/>
  <c r="V249" i="5"/>
  <c r="AC249" i="5"/>
  <c r="AC253" i="5"/>
  <c r="AB254" i="5"/>
  <c r="W259" i="5"/>
  <c r="V260" i="5"/>
  <c r="AC260" i="5"/>
  <c r="AB261" i="5"/>
  <c r="X236" i="5"/>
  <c r="W237" i="5"/>
  <c r="V238" i="5"/>
  <c r="AC238" i="5"/>
  <c r="AB239" i="5"/>
  <c r="AA240" i="5"/>
  <c r="Z247" i="5"/>
  <c r="X248" i="5"/>
  <c r="W249" i="5"/>
  <c r="W253" i="5"/>
  <c r="V254" i="5"/>
  <c r="AC254" i="5"/>
  <c r="X259" i="5"/>
  <c r="W260" i="5"/>
  <c r="V261" i="5"/>
  <c r="AC261" i="5"/>
  <c r="Z236" i="5"/>
  <c r="X237" i="5"/>
  <c r="W238" i="5"/>
  <c r="V239" i="5"/>
  <c r="AC239" i="5"/>
  <c r="AB240" i="5"/>
  <c r="AA247" i="5"/>
  <c r="X249" i="5"/>
  <c r="X253" i="5"/>
  <c r="W254" i="5"/>
  <c r="Z259" i="5"/>
  <c r="X260" i="5"/>
  <c r="AC258" i="5"/>
  <c r="W257" i="5"/>
  <c r="G22" i="10"/>
  <c r="X257" i="5"/>
  <c r="W258" i="5"/>
  <c r="Z257" i="5"/>
  <c r="X258" i="5"/>
  <c r="AA257" i="5"/>
  <c r="Z258" i="5"/>
  <c r="AB257" i="5"/>
  <c r="AA258" i="5"/>
  <c r="V257" i="5"/>
  <c r="AC257" i="5"/>
  <c r="Y34" i="11"/>
  <c r="O136" i="11"/>
  <c r="O133" i="11"/>
  <c r="U136" i="11"/>
  <c r="U133" i="11"/>
  <c r="W101" i="11"/>
  <c r="Y67" i="11"/>
  <c r="E124" i="11"/>
  <c r="K124" i="11"/>
  <c r="Q124" i="11"/>
  <c r="AD124" i="11"/>
  <c r="T133" i="11"/>
  <c r="F124" i="11"/>
  <c r="L124" i="11"/>
  <c r="R124" i="11"/>
  <c r="H124" i="11"/>
  <c r="N124" i="11"/>
  <c r="H82" i="11"/>
  <c r="F82" i="11"/>
  <c r="J124" i="11"/>
  <c r="G82" i="11"/>
  <c r="I124" i="11"/>
  <c r="O124" i="11"/>
  <c r="V122" i="8"/>
  <c r="W122" i="8"/>
  <c r="U122" i="8"/>
  <c r="V125" i="8"/>
  <c r="W125" i="8"/>
  <c r="U125" i="8"/>
  <c r="V128" i="8"/>
  <c r="W111" i="11"/>
  <c r="W128" i="8"/>
  <c r="V114" i="11"/>
  <c r="J82" i="11"/>
  <c r="Z82" i="11"/>
  <c r="AB82" i="11"/>
  <c r="Y40" i="11"/>
  <c r="G124" i="11"/>
  <c r="M124" i="11"/>
  <c r="S124" i="11"/>
  <c r="W137" i="11"/>
  <c r="E82" i="11"/>
  <c r="E85" i="11" s="1"/>
  <c r="U63" i="11"/>
  <c r="Y60" i="11"/>
  <c r="Y63" i="11" s="1"/>
  <c r="AA82" i="11"/>
  <c r="W117" i="8"/>
  <c r="U117" i="8"/>
  <c r="V117" i="8"/>
  <c r="I82" i="11"/>
  <c r="U119" i="8"/>
  <c r="W119" i="8"/>
  <c r="V119" i="8"/>
  <c r="V124" i="8"/>
  <c r="T124" i="8"/>
  <c r="W124" i="8"/>
  <c r="U124" i="8"/>
  <c r="T120" i="8"/>
  <c r="V120" i="8"/>
  <c r="U120" i="8"/>
  <c r="W123" i="8"/>
  <c r="U123" i="8"/>
  <c r="T123" i="8"/>
  <c r="W116" i="8"/>
  <c r="U116" i="8"/>
  <c r="T116" i="8"/>
  <c r="V118" i="8"/>
  <c r="T118" i="8"/>
  <c r="W118" i="8"/>
  <c r="U118" i="8"/>
  <c r="W121" i="8"/>
  <c r="U121" i="8"/>
  <c r="T121" i="8"/>
  <c r="V123" i="8"/>
  <c r="W126" i="8"/>
  <c r="U126" i="8"/>
  <c r="T126" i="8"/>
  <c r="V116" i="8"/>
  <c r="V127" i="8"/>
  <c r="T127" i="8"/>
  <c r="W127" i="8"/>
  <c r="U127" i="8"/>
  <c r="T122" i="8"/>
  <c r="T125" i="8"/>
  <c r="T128" i="8"/>
  <c r="S11" i="1" l="1"/>
  <c r="G37" i="2"/>
  <c r="Q120" i="8" s="1"/>
  <c r="H37" i="2"/>
  <c r="R122" i="8" s="1"/>
  <c r="I37" i="2"/>
  <c r="S121" i="8" s="1"/>
  <c r="F47" i="2" a="1"/>
  <c r="H47" i="2" s="1"/>
  <c r="F45" i="2" a="1"/>
  <c r="G45" i="2" s="1"/>
  <c r="H48" i="2"/>
  <c r="G48" i="2"/>
  <c r="F48" i="2"/>
  <c r="I48" i="2"/>
  <c r="F34" i="2"/>
  <c r="F35" i="2" a="1"/>
  <c r="H35" i="2" s="1"/>
  <c r="I44" i="2"/>
  <c r="H44" i="2"/>
  <c r="G44" i="2"/>
  <c r="F44" i="2"/>
  <c r="F49" i="2" a="1"/>
  <c r="F46" i="2"/>
  <c r="H46" i="2"/>
  <c r="I46" i="2"/>
  <c r="G46" i="2"/>
  <c r="F43" i="2" a="1"/>
  <c r="O21" i="10"/>
  <c r="AA242" i="5"/>
  <c r="I34" i="1"/>
  <c r="I32" i="1"/>
  <c r="N41" i="1"/>
  <c r="N43" i="1"/>
  <c r="W12" i="11"/>
  <c r="T127" i="11"/>
  <c r="U47" i="11"/>
  <c r="U82" i="11" s="1"/>
  <c r="Y351" i="11"/>
  <c r="I37" i="1"/>
  <c r="I35" i="1"/>
  <c r="Y348" i="11"/>
  <c r="I41" i="1"/>
  <c r="I43" i="1"/>
  <c r="AD7" i="7"/>
  <c r="AD12" i="7" s="1"/>
  <c r="AD17" i="7" s="1"/>
  <c r="AD28" i="7" s="1"/>
  <c r="AC12" i="8"/>
  <c r="Y350" i="11"/>
  <c r="Y349" i="11"/>
  <c r="V15" i="8"/>
  <c r="V10" i="8"/>
  <c r="W59" i="8"/>
  <c r="W60" i="8" s="1"/>
  <c r="U20" i="8"/>
  <c r="W12" i="8"/>
  <c r="I13" i="1"/>
  <c r="I11" i="1"/>
  <c r="AB20" i="8"/>
  <c r="AB59" i="8"/>
  <c r="AB60" i="8" s="1"/>
  <c r="AB13" i="8"/>
  <c r="AB12" i="8"/>
  <c r="AA15" i="8"/>
  <c r="AA10" i="8"/>
  <c r="AA12" i="8"/>
  <c r="AA59" i="8"/>
  <c r="AA60" i="8" s="1"/>
  <c r="Z12" i="8"/>
  <c r="Z15" i="8"/>
  <c r="Z20" i="8"/>
  <c r="Z13" i="8"/>
  <c r="Z10" i="8"/>
  <c r="Z59" i="8"/>
  <c r="AB10" i="8"/>
  <c r="AB15" i="8"/>
  <c r="U10" i="8"/>
  <c r="U59" i="8"/>
  <c r="U15" i="8"/>
  <c r="U12" i="8"/>
  <c r="AA13" i="8"/>
  <c r="AA20" i="8"/>
  <c r="AC20" i="8"/>
  <c r="AC15" i="8"/>
  <c r="AC10" i="8"/>
  <c r="AC13" i="8"/>
  <c r="U13" i="8"/>
  <c r="AC59" i="8"/>
  <c r="AC60" i="8" s="1"/>
  <c r="U28" i="7"/>
  <c r="U40" i="7" s="1"/>
  <c r="U73" i="7"/>
  <c r="U74" i="7" s="1"/>
  <c r="U69" i="7"/>
  <c r="V69" i="7" s="1"/>
  <c r="W69" i="7" s="1"/>
  <c r="X69" i="7" s="1"/>
  <c r="Y69" i="7" s="1"/>
  <c r="Z69" i="7" s="1"/>
  <c r="AA69" i="7" s="1"/>
  <c r="AB69" i="7" s="1"/>
  <c r="AC69" i="7" s="1"/>
  <c r="AD69" i="7" s="1"/>
  <c r="AD36" i="7"/>
  <c r="AD38" i="7" s="1"/>
  <c r="AD40" i="7" s="1"/>
  <c r="Z38" i="7"/>
  <c r="Z40" i="7" s="1"/>
  <c r="Y40" i="7"/>
  <c r="Y43" i="7" s="1"/>
  <c r="V59" i="8"/>
  <c r="V60" i="8" s="1"/>
  <c r="V12" i="8"/>
  <c r="V20" i="8"/>
  <c r="V13" i="8"/>
  <c r="X59" i="8"/>
  <c r="X60" i="8" s="1"/>
  <c r="X15" i="8"/>
  <c r="X10" i="8"/>
  <c r="X12" i="8"/>
  <c r="X20" i="8"/>
  <c r="X13" i="8"/>
  <c r="W13" i="8"/>
  <c r="W15" i="8"/>
  <c r="W10" i="8"/>
  <c r="W20" i="8"/>
  <c r="I34" i="2"/>
  <c r="H34" i="2"/>
  <c r="F39" i="2" a="1"/>
  <c r="F39" i="2" s="1"/>
  <c r="S118" i="8"/>
  <c r="P122" i="8"/>
  <c r="P121" i="8"/>
  <c r="P120" i="8"/>
  <c r="P119" i="8"/>
  <c r="P118" i="8"/>
  <c r="F38" i="2" a="1"/>
  <c r="Q122" i="8"/>
  <c r="Q121" i="8"/>
  <c r="F36" i="2" a="1"/>
  <c r="G40" i="2"/>
  <c r="F40" i="2"/>
  <c r="I40" i="2"/>
  <c r="H40" i="2"/>
  <c r="R121" i="8"/>
  <c r="R120" i="8"/>
  <c r="R119" i="8"/>
  <c r="R118" i="8"/>
  <c r="AB168" i="4"/>
  <c r="V168" i="4"/>
  <c r="AC241" i="5"/>
  <c r="AC166" i="4"/>
  <c r="AA171" i="4"/>
  <c r="AA167" i="4"/>
  <c r="Z246" i="5"/>
  <c r="AA169" i="4"/>
  <c r="AB242" i="5"/>
  <c r="AC168" i="4"/>
  <c r="W241" i="5"/>
  <c r="X167" i="4"/>
  <c r="Z172" i="4"/>
  <c r="X170" i="4"/>
  <c r="V246" i="5"/>
  <c r="W169" i="4"/>
  <c r="X242" i="5"/>
  <c r="Z168" i="4"/>
  <c r="X165" i="4"/>
  <c r="Z170" i="4"/>
  <c r="AA246" i="5"/>
  <c r="AB169" i="4"/>
  <c r="V242" i="5"/>
  <c r="W168" i="4"/>
  <c r="W165" i="4"/>
  <c r="W171" i="4"/>
  <c r="AC246" i="5"/>
  <c r="V170" i="4"/>
  <c r="W246" i="5"/>
  <c r="X169" i="4"/>
  <c r="Z242" i="5"/>
  <c r="W166" i="4"/>
  <c r="X171" i="4"/>
  <c r="Z165" i="4"/>
  <c r="AA170" i="4"/>
  <c r="V169" i="4"/>
  <c r="V165" i="4"/>
  <c r="AA241" i="5"/>
  <c r="Z166" i="4"/>
  <c r="Z169" i="4"/>
  <c r="X168" i="4"/>
  <c r="Z241" i="5"/>
  <c r="AB165" i="4"/>
  <c r="W242" i="5"/>
  <c r="AB172" i="4"/>
  <c r="AC242" i="5"/>
  <c r="V166" i="4"/>
  <c r="V172" i="4"/>
  <c r="AC170" i="4"/>
  <c r="W170" i="4"/>
  <c r="V167" i="4"/>
  <c r="W172" i="4"/>
  <c r="X166" i="4"/>
  <c r="Z171" i="4"/>
  <c r="AB246" i="5"/>
  <c r="AC169" i="4"/>
  <c r="AB167" i="4"/>
  <c r="AC172" i="4"/>
  <c r="AA166" i="4"/>
  <c r="AB171" i="4"/>
  <c r="AC165" i="4"/>
  <c r="V171" i="4"/>
  <c r="AB241" i="5"/>
  <c r="AC167" i="4"/>
  <c r="V241" i="5"/>
  <c r="W167" i="4"/>
  <c r="X172" i="4"/>
  <c r="AA165" i="4"/>
  <c r="AB170" i="4"/>
  <c r="AA168" i="4"/>
  <c r="X241" i="5"/>
  <c r="X10" i="5" s="1"/>
  <c r="Z167" i="4"/>
  <c r="AA172" i="4"/>
  <c r="AB166" i="4"/>
  <c r="AC171" i="4"/>
  <c r="G30" i="10"/>
  <c r="G29" i="10"/>
  <c r="G27" i="10"/>
  <c r="G28" i="10"/>
  <c r="AB178" i="4"/>
  <c r="AC177" i="4"/>
  <c r="V177" i="4"/>
  <c r="W176" i="4"/>
  <c r="X175" i="4"/>
  <c r="Z174" i="4"/>
  <c r="AA173" i="4"/>
  <c r="W177" i="4"/>
  <c r="AA178" i="4"/>
  <c r="AB177" i="4"/>
  <c r="AC176" i="4"/>
  <c r="V176" i="4"/>
  <c r="W175" i="4"/>
  <c r="X174" i="4"/>
  <c r="Z173" i="4"/>
  <c r="AC178" i="4"/>
  <c r="Z175" i="4"/>
  <c r="AA174" i="4"/>
  <c r="Z178" i="4"/>
  <c r="AA177" i="4"/>
  <c r="AB176" i="4"/>
  <c r="AC175" i="4"/>
  <c r="V175" i="4"/>
  <c r="W174" i="4"/>
  <c r="X173" i="4"/>
  <c r="AB173" i="4"/>
  <c r="X178" i="4"/>
  <c r="Z177" i="4"/>
  <c r="AA176" i="4"/>
  <c r="AB175" i="4"/>
  <c r="AC174" i="4"/>
  <c r="V174" i="4"/>
  <c r="W173" i="4"/>
  <c r="V178" i="4"/>
  <c r="W178" i="4"/>
  <c r="X177" i="4"/>
  <c r="Z176" i="4"/>
  <c r="AA175" i="4"/>
  <c r="AB174" i="4"/>
  <c r="AC173" i="4"/>
  <c r="V173" i="4"/>
  <c r="X176" i="4"/>
  <c r="U123" i="11"/>
  <c r="U124" i="11" s="1"/>
  <c r="Z138" i="11"/>
  <c r="AA138" i="11"/>
  <c r="AB138" i="11"/>
  <c r="AC138" i="11"/>
  <c r="O47" i="11"/>
  <c r="O82" i="11" s="1"/>
  <c r="O85" i="11" s="1"/>
  <c r="P84" i="11" s="1"/>
  <c r="P85" i="11" s="1"/>
  <c r="Q84" i="11" s="1"/>
  <c r="Q85" i="11" s="1"/>
  <c r="R84" i="11" s="1"/>
  <c r="R85" i="11" s="1"/>
  <c r="S84" i="11" s="1"/>
  <c r="S85" i="11" s="1"/>
  <c r="X137" i="11"/>
  <c r="X101" i="11"/>
  <c r="Y88" i="11"/>
  <c r="W131" i="11"/>
  <c r="W114" i="11"/>
  <c r="X111" i="11"/>
  <c r="J84" i="11"/>
  <c r="J85" i="11" s="1"/>
  <c r="K84" i="11" s="1"/>
  <c r="K85" i="11" s="1"/>
  <c r="L84" i="11" s="1"/>
  <c r="L85" i="11" s="1"/>
  <c r="M84" i="11" s="1"/>
  <c r="M85" i="11" s="1"/>
  <c r="N84" i="11" s="1"/>
  <c r="N85" i="11" s="1"/>
  <c r="F84" i="11"/>
  <c r="F85" i="11" s="1"/>
  <c r="G84" i="11" s="1"/>
  <c r="G85" i="11" s="1"/>
  <c r="H84" i="11" s="1"/>
  <c r="H85" i="11" s="1"/>
  <c r="I84" i="11" s="1"/>
  <c r="I85" i="11" s="1"/>
  <c r="W160" i="11" l="1"/>
  <c r="X160" i="11"/>
  <c r="V160" i="11"/>
  <c r="G47" i="2"/>
  <c r="S120" i="8"/>
  <c r="Q118" i="8"/>
  <c r="S122" i="8"/>
  <c r="F47" i="2"/>
  <c r="P348" i="11" s="1"/>
  <c r="S119" i="8"/>
  <c r="Q119" i="8"/>
  <c r="I47" i="2"/>
  <c r="S290" i="11" s="1"/>
  <c r="I45" i="2"/>
  <c r="H45" i="2"/>
  <c r="I35" i="2"/>
  <c r="F35" i="2"/>
  <c r="F45" i="2"/>
  <c r="G43" i="2"/>
  <c r="H43" i="2"/>
  <c r="I43" i="2"/>
  <c r="F43" i="2"/>
  <c r="S284" i="11"/>
  <c r="S351" i="11"/>
  <c r="S291" i="11"/>
  <c r="S285" i="11"/>
  <c r="S293" i="11"/>
  <c r="S287" i="11"/>
  <c r="S349" i="11"/>
  <c r="S289" i="11"/>
  <c r="S288" i="11"/>
  <c r="S278" i="11"/>
  <c r="S348" i="11"/>
  <c r="S199" i="11"/>
  <c r="S194" i="11"/>
  <c r="S181" i="11"/>
  <c r="S175" i="11"/>
  <c r="S198" i="11"/>
  <c r="S182" i="11"/>
  <c r="S176" i="11"/>
  <c r="S170" i="11"/>
  <c r="S188" i="11"/>
  <c r="S171" i="11"/>
  <c r="S173" i="11"/>
  <c r="S196" i="11"/>
  <c r="S192" i="11"/>
  <c r="S178" i="11"/>
  <c r="S172" i="11"/>
  <c r="S200" i="11"/>
  <c r="S185" i="11"/>
  <c r="S190" i="11"/>
  <c r="S186" i="11"/>
  <c r="S180" i="11"/>
  <c r="S174" i="11"/>
  <c r="G35" i="2"/>
  <c r="Q160" i="11"/>
  <c r="Q161" i="11"/>
  <c r="Q282" i="11"/>
  <c r="Q279" i="11"/>
  <c r="Q281" i="11"/>
  <c r="Q167" i="11"/>
  <c r="Q168" i="11"/>
  <c r="Q162" i="11"/>
  <c r="Q280" i="11"/>
  <c r="Q169" i="11"/>
  <c r="Q163" i="11"/>
  <c r="Q164" i="11"/>
  <c r="Q166" i="11"/>
  <c r="Q165" i="11"/>
  <c r="P293" i="11"/>
  <c r="L169" i="5"/>
  <c r="P284" i="11"/>
  <c r="L174" i="5"/>
  <c r="P184" i="11"/>
  <c r="P193" i="11"/>
  <c r="P174" i="11"/>
  <c r="P175" i="11"/>
  <c r="P192" i="11"/>
  <c r="L127" i="6"/>
  <c r="S160" i="11"/>
  <c r="S161" i="11"/>
  <c r="S279" i="11"/>
  <c r="S280" i="11"/>
  <c r="S281" i="11"/>
  <c r="S282" i="11"/>
  <c r="S169" i="11"/>
  <c r="S163" i="11"/>
  <c r="S164" i="11"/>
  <c r="S165" i="11"/>
  <c r="S166" i="11"/>
  <c r="S167" i="11"/>
  <c r="S168" i="11"/>
  <c r="S162" i="11"/>
  <c r="Q348" i="11"/>
  <c r="Q288" i="11"/>
  <c r="Q349" i="11"/>
  <c r="Q289" i="11"/>
  <c r="Q283" i="11"/>
  <c r="Q277" i="11"/>
  <c r="Q350" i="11"/>
  <c r="Q290" i="11"/>
  <c r="Q284" i="11"/>
  <c r="Q278" i="11"/>
  <c r="Q351" i="11"/>
  <c r="Q291" i="11"/>
  <c r="Q285" i="11"/>
  <c r="Q293" i="11"/>
  <c r="Q287" i="11"/>
  <c r="Q292" i="11"/>
  <c r="Q286" i="11"/>
  <c r="Q197" i="11"/>
  <c r="Q191" i="11"/>
  <c r="Q200" i="11"/>
  <c r="Q193" i="11"/>
  <c r="Q185" i="11"/>
  <c r="Q179" i="11"/>
  <c r="Q173" i="11"/>
  <c r="Q171" i="11"/>
  <c r="Q190" i="11"/>
  <c r="Q186" i="11"/>
  <c r="Q180" i="11"/>
  <c r="Q174" i="11"/>
  <c r="Q198" i="11"/>
  <c r="Q194" i="11"/>
  <c r="Q187" i="11"/>
  <c r="Q181" i="11"/>
  <c r="Q175" i="11"/>
  <c r="Q195" i="11"/>
  <c r="Q182" i="11"/>
  <c r="Q176" i="11"/>
  <c r="Q170" i="11"/>
  <c r="Q199" i="11"/>
  <c r="Q192" i="11"/>
  <c r="Q188" i="11"/>
  <c r="Q183" i="11"/>
  <c r="Q177" i="11"/>
  <c r="Q196" i="11"/>
  <c r="Q189" i="11"/>
  <c r="Q184" i="11"/>
  <c r="Q178" i="11"/>
  <c r="Q172" i="11"/>
  <c r="L161" i="5"/>
  <c r="L158" i="5"/>
  <c r="L155" i="5"/>
  <c r="L152" i="5"/>
  <c r="N137" i="4"/>
  <c r="N135" i="4"/>
  <c r="N133" i="4"/>
  <c r="L163" i="5"/>
  <c r="L160" i="5"/>
  <c r="L157" i="5"/>
  <c r="L154" i="5"/>
  <c r="L151" i="5"/>
  <c r="N138" i="4"/>
  <c r="N136" i="4"/>
  <c r="N134" i="4"/>
  <c r="L162" i="5"/>
  <c r="L153" i="5"/>
  <c r="L156" i="5"/>
  <c r="L159" i="5"/>
  <c r="K137" i="4"/>
  <c r="K134" i="4"/>
  <c r="K136" i="4"/>
  <c r="K138" i="4"/>
  <c r="K135" i="4"/>
  <c r="K133" i="4"/>
  <c r="S356" i="11"/>
  <c r="S344" i="11"/>
  <c r="S338" i="11"/>
  <c r="S332" i="11"/>
  <c r="S326" i="11"/>
  <c r="S320" i="11"/>
  <c r="S314" i="11"/>
  <c r="S308" i="11"/>
  <c r="S302" i="11"/>
  <c r="S296" i="11"/>
  <c r="S357" i="11"/>
  <c r="S345" i="11"/>
  <c r="S339" i="11"/>
  <c r="S333" i="11"/>
  <c r="S327" i="11"/>
  <c r="S321" i="11"/>
  <c r="S315" i="11"/>
  <c r="S309" i="11"/>
  <c r="S303" i="11"/>
  <c r="S297" i="11"/>
  <c r="S358" i="11"/>
  <c r="S352" i="11"/>
  <c r="S346" i="11"/>
  <c r="S340" i="11"/>
  <c r="S334" i="11"/>
  <c r="S328" i="11"/>
  <c r="S322" i="11"/>
  <c r="S316" i="11"/>
  <c r="S310" i="11"/>
  <c r="S304" i="11"/>
  <c r="S298" i="11"/>
  <c r="S359" i="11"/>
  <c r="S353" i="11"/>
  <c r="S347" i="11"/>
  <c r="S341" i="11"/>
  <c r="S335" i="11"/>
  <c r="S329" i="11"/>
  <c r="S323" i="11"/>
  <c r="S317" i="11"/>
  <c r="S311" i="11"/>
  <c r="S305" i="11"/>
  <c r="S299" i="11"/>
  <c r="S275" i="11"/>
  <c r="S361" i="11"/>
  <c r="S355" i="11"/>
  <c r="S343" i="11"/>
  <c r="S337" i="11"/>
  <c r="S331" i="11"/>
  <c r="S325" i="11"/>
  <c r="S319" i="11"/>
  <c r="S313" i="11"/>
  <c r="S307" i="11"/>
  <c r="S301" i="11"/>
  <c r="S295" i="11"/>
  <c r="S276" i="11"/>
  <c r="S272" i="11"/>
  <c r="S266" i="11"/>
  <c r="S260" i="11"/>
  <c r="S254" i="11"/>
  <c r="S248" i="11"/>
  <c r="S242" i="11"/>
  <c r="S236" i="11"/>
  <c r="S230" i="11"/>
  <c r="S360" i="11"/>
  <c r="S342" i="11"/>
  <c r="S324" i="11"/>
  <c r="S306" i="11"/>
  <c r="S273" i="11"/>
  <c r="S267" i="11"/>
  <c r="S261" i="11"/>
  <c r="S255" i="11"/>
  <c r="S249" i="11"/>
  <c r="S274" i="11"/>
  <c r="S268" i="11"/>
  <c r="S262" i="11"/>
  <c r="S256" i="11"/>
  <c r="S250" i="11"/>
  <c r="S244" i="11"/>
  <c r="S238" i="11"/>
  <c r="S232" i="11"/>
  <c r="S330" i="11"/>
  <c r="S312" i="11"/>
  <c r="S294" i="11"/>
  <c r="S354" i="11"/>
  <c r="S336" i="11"/>
  <c r="S318" i="11"/>
  <c r="S300" i="11"/>
  <c r="S271" i="11"/>
  <c r="S265" i="11"/>
  <c r="S259" i="11"/>
  <c r="S253" i="11"/>
  <c r="S247" i="11"/>
  <c r="S241" i="11"/>
  <c r="S235" i="11"/>
  <c r="S229" i="11"/>
  <c r="S223" i="11"/>
  <c r="S217" i="11"/>
  <c r="S211" i="11"/>
  <c r="S205" i="11"/>
  <c r="S246" i="11"/>
  <c r="S240" i="11"/>
  <c r="S234" i="11"/>
  <c r="S212" i="11"/>
  <c r="S263" i="11"/>
  <c r="S258" i="11"/>
  <c r="S227" i="11"/>
  <c r="S220" i="11"/>
  <c r="S216" i="11"/>
  <c r="S213" i="11"/>
  <c r="S209" i="11"/>
  <c r="S202" i="11"/>
  <c r="S224" i="11"/>
  <c r="S206" i="11"/>
  <c r="S270" i="11"/>
  <c r="S257" i="11"/>
  <c r="S252" i="11"/>
  <c r="S245" i="11"/>
  <c r="S243" i="11"/>
  <c r="S239" i="11"/>
  <c r="S237" i="11"/>
  <c r="S233" i="11"/>
  <c r="S231" i="11"/>
  <c r="S228" i="11"/>
  <c r="S225" i="11"/>
  <c r="S221" i="11"/>
  <c r="S214" i="11"/>
  <c r="S210" i="11"/>
  <c r="S207" i="11"/>
  <c r="S203" i="11"/>
  <c r="S218" i="11"/>
  <c r="S269" i="11"/>
  <c r="S264" i="11"/>
  <c r="S251" i="11"/>
  <c r="S226" i="11"/>
  <c r="S222" i="11"/>
  <c r="S219" i="11"/>
  <c r="S215" i="11"/>
  <c r="S208" i="11"/>
  <c r="S204" i="11"/>
  <c r="S201" i="11"/>
  <c r="R160" i="11"/>
  <c r="R161" i="11"/>
  <c r="R279" i="11"/>
  <c r="R280" i="11"/>
  <c r="R282" i="11"/>
  <c r="R281" i="11"/>
  <c r="R168" i="11"/>
  <c r="R162" i="11"/>
  <c r="R169" i="11"/>
  <c r="R163" i="11"/>
  <c r="R164" i="11"/>
  <c r="R165" i="11"/>
  <c r="R166" i="11"/>
  <c r="R167" i="11"/>
  <c r="I49" i="2"/>
  <c r="H49" i="2"/>
  <c r="G49" i="2"/>
  <c r="F49" i="2"/>
  <c r="L209" i="5"/>
  <c r="L206" i="5"/>
  <c r="L203" i="5"/>
  <c r="L200" i="5"/>
  <c r="L197" i="5"/>
  <c r="L194" i="5"/>
  <c r="L191" i="5"/>
  <c r="L188" i="5"/>
  <c r="L185" i="5"/>
  <c r="L182" i="5"/>
  <c r="L179" i="5"/>
  <c r="L176" i="5"/>
  <c r="P359" i="11"/>
  <c r="P353" i="11"/>
  <c r="P347" i="11"/>
  <c r="P341" i="11"/>
  <c r="P335" i="11"/>
  <c r="P329" i="11"/>
  <c r="P323" i="11"/>
  <c r="P317" i="11"/>
  <c r="P311" i="11"/>
  <c r="P305" i="11"/>
  <c r="P299" i="11"/>
  <c r="P360" i="11"/>
  <c r="P354" i="11"/>
  <c r="P342" i="11"/>
  <c r="P336" i="11"/>
  <c r="P330" i="11"/>
  <c r="P324" i="11"/>
  <c r="P318" i="11"/>
  <c r="P312" i="11"/>
  <c r="P306" i="11"/>
  <c r="P300" i="11"/>
  <c r="P294" i="11"/>
  <c r="L208" i="5"/>
  <c r="L205" i="5"/>
  <c r="L202" i="5"/>
  <c r="L199" i="5"/>
  <c r="L196" i="5"/>
  <c r="L193" i="5"/>
  <c r="L190" i="5"/>
  <c r="L187" i="5"/>
  <c r="L184" i="5"/>
  <c r="L181" i="5"/>
  <c r="L178" i="5"/>
  <c r="P361" i="11"/>
  <c r="P355" i="11"/>
  <c r="P343" i="11"/>
  <c r="P337" i="11"/>
  <c r="P331" i="11"/>
  <c r="P325" i="11"/>
  <c r="P319" i="11"/>
  <c r="P313" i="11"/>
  <c r="P307" i="11"/>
  <c r="P301" i="11"/>
  <c r="P295" i="11"/>
  <c r="P356" i="11"/>
  <c r="P344" i="11"/>
  <c r="P338" i="11"/>
  <c r="P332" i="11"/>
  <c r="P326" i="11"/>
  <c r="P320" i="11"/>
  <c r="P314" i="11"/>
  <c r="P308" i="11"/>
  <c r="P302" i="11"/>
  <c r="P296" i="11"/>
  <c r="P358" i="11"/>
  <c r="P352" i="11"/>
  <c r="P346" i="11"/>
  <c r="P340" i="11"/>
  <c r="P334" i="11"/>
  <c r="P328" i="11"/>
  <c r="P322" i="11"/>
  <c r="P316" i="11"/>
  <c r="P310" i="11"/>
  <c r="P304" i="11"/>
  <c r="P298" i="11"/>
  <c r="P275" i="11"/>
  <c r="P269" i="11"/>
  <c r="P263" i="11"/>
  <c r="P257" i="11"/>
  <c r="P251" i="11"/>
  <c r="P245" i="11"/>
  <c r="P239" i="11"/>
  <c r="P233" i="11"/>
  <c r="L207" i="5"/>
  <c r="L198" i="5"/>
  <c r="L189" i="5"/>
  <c r="L180" i="5"/>
  <c r="P357" i="11"/>
  <c r="P339" i="11"/>
  <c r="P321" i="11"/>
  <c r="P303" i="11"/>
  <c r="P270" i="11"/>
  <c r="P264" i="11"/>
  <c r="P258" i="11"/>
  <c r="P252" i="11"/>
  <c r="P276" i="11"/>
  <c r="P271" i="11"/>
  <c r="P265" i="11"/>
  <c r="P259" i="11"/>
  <c r="P253" i="11"/>
  <c r="P247" i="11"/>
  <c r="P241" i="11"/>
  <c r="P235" i="11"/>
  <c r="L201" i="5"/>
  <c r="L192" i="5"/>
  <c r="L183" i="5"/>
  <c r="P345" i="11"/>
  <c r="P327" i="11"/>
  <c r="P309" i="11"/>
  <c r="L204" i="5"/>
  <c r="L195" i="5"/>
  <c r="L186" i="5"/>
  <c r="L177" i="5"/>
  <c r="P333" i="11"/>
  <c r="P315" i="11"/>
  <c r="P297" i="11"/>
  <c r="P274" i="11"/>
  <c r="P268" i="11"/>
  <c r="P262" i="11"/>
  <c r="P256" i="11"/>
  <c r="P250" i="11"/>
  <c r="P244" i="11"/>
  <c r="P238" i="11"/>
  <c r="P232" i="11"/>
  <c r="P226" i="11"/>
  <c r="P220" i="11"/>
  <c r="P214" i="11"/>
  <c r="P208" i="11"/>
  <c r="P202" i="11"/>
  <c r="P272" i="11"/>
  <c r="P267" i="11"/>
  <c r="P254" i="11"/>
  <c r="P249" i="11"/>
  <c r="P225" i="11"/>
  <c r="P207" i="11"/>
  <c r="P246" i="11"/>
  <c r="P240" i="11"/>
  <c r="P234" i="11"/>
  <c r="P229" i="11"/>
  <c r="P222" i="11"/>
  <c r="P218" i="11"/>
  <c r="P215" i="11"/>
  <c r="P211" i="11"/>
  <c r="P204" i="11"/>
  <c r="P266" i="11"/>
  <c r="P261" i="11"/>
  <c r="P248" i="11"/>
  <c r="P242" i="11"/>
  <c r="P236" i="11"/>
  <c r="P219" i="11"/>
  <c r="P201" i="11"/>
  <c r="P230" i="11"/>
  <c r="P227" i="11"/>
  <c r="P223" i="11"/>
  <c r="P216" i="11"/>
  <c r="P212" i="11"/>
  <c r="P209" i="11"/>
  <c r="P205" i="11"/>
  <c r="P273" i="11"/>
  <c r="P260" i="11"/>
  <c r="P255" i="11"/>
  <c r="P213" i="11"/>
  <c r="P243" i="11"/>
  <c r="P237" i="11"/>
  <c r="P231" i="11"/>
  <c r="P228" i="11"/>
  <c r="P224" i="11"/>
  <c r="P221" i="11"/>
  <c r="P217" i="11"/>
  <c r="P210" i="11"/>
  <c r="P206" i="11"/>
  <c r="P203" i="11"/>
  <c r="L143" i="6"/>
  <c r="L138" i="6"/>
  <c r="L134" i="6"/>
  <c r="L149" i="6"/>
  <c r="L144" i="6"/>
  <c r="L140" i="6"/>
  <c r="L133" i="6"/>
  <c r="L135" i="6"/>
  <c r="L136" i="6"/>
  <c r="L155" i="6"/>
  <c r="L150" i="6"/>
  <c r="L146" i="6"/>
  <c r="L139" i="6"/>
  <c r="L141" i="6"/>
  <c r="L142" i="6"/>
  <c r="L152" i="6"/>
  <c r="L145" i="6"/>
  <c r="L147" i="6"/>
  <c r="L148" i="6"/>
  <c r="L151" i="6"/>
  <c r="L153" i="6"/>
  <c r="L154" i="6"/>
  <c r="L137" i="6"/>
  <c r="L132" i="6"/>
  <c r="P161" i="11"/>
  <c r="P281" i="11"/>
  <c r="P282" i="11"/>
  <c r="P280" i="11"/>
  <c r="L168" i="5"/>
  <c r="P279" i="11"/>
  <c r="P166" i="11"/>
  <c r="P167" i="11"/>
  <c r="P168" i="11"/>
  <c r="P162" i="11"/>
  <c r="P169" i="11"/>
  <c r="P163" i="11"/>
  <c r="P164" i="11"/>
  <c r="P165" i="11"/>
  <c r="L164" i="5"/>
  <c r="Q360" i="11"/>
  <c r="Q354" i="11"/>
  <c r="Q342" i="11"/>
  <c r="Q336" i="11"/>
  <c r="Q330" i="11"/>
  <c r="Q324" i="11"/>
  <c r="Q318" i="11"/>
  <c r="Q312" i="11"/>
  <c r="Q306" i="11"/>
  <c r="Q300" i="11"/>
  <c r="Q294" i="11"/>
  <c r="Q361" i="11"/>
  <c r="Q355" i="11"/>
  <c r="Q343" i="11"/>
  <c r="Q337" i="11"/>
  <c r="Q331" i="11"/>
  <c r="Q325" i="11"/>
  <c r="Q319" i="11"/>
  <c r="Q313" i="11"/>
  <c r="Q307" i="11"/>
  <c r="Q301" i="11"/>
  <c r="Q295" i="11"/>
  <c r="Q356" i="11"/>
  <c r="Q344" i="11"/>
  <c r="Q338" i="11"/>
  <c r="Q332" i="11"/>
  <c r="Q326" i="11"/>
  <c r="Q320" i="11"/>
  <c r="Q314" i="11"/>
  <c r="Q308" i="11"/>
  <c r="Q302" i="11"/>
  <c r="Q296" i="11"/>
  <c r="Q357" i="11"/>
  <c r="Q345" i="11"/>
  <c r="Q339" i="11"/>
  <c r="Q333" i="11"/>
  <c r="Q327" i="11"/>
  <c r="Q321" i="11"/>
  <c r="Q315" i="11"/>
  <c r="Q309" i="11"/>
  <c r="Q303" i="11"/>
  <c r="Q297" i="11"/>
  <c r="Q359" i="11"/>
  <c r="Q353" i="11"/>
  <c r="Q347" i="11"/>
  <c r="Q341" i="11"/>
  <c r="Q335" i="11"/>
  <c r="Q329" i="11"/>
  <c r="Q323" i="11"/>
  <c r="Q317" i="11"/>
  <c r="Q311" i="11"/>
  <c r="Q305" i="11"/>
  <c r="Q299" i="11"/>
  <c r="Q270" i="11"/>
  <c r="Q264" i="11"/>
  <c r="Q258" i="11"/>
  <c r="Q252" i="11"/>
  <c r="Q246" i="11"/>
  <c r="Q240" i="11"/>
  <c r="Q234" i="11"/>
  <c r="Q346" i="11"/>
  <c r="Q328" i="11"/>
  <c r="Q310" i="11"/>
  <c r="Q276" i="11"/>
  <c r="Q271" i="11"/>
  <c r="Q265" i="11"/>
  <c r="Q259" i="11"/>
  <c r="Q253" i="11"/>
  <c r="Q272" i="11"/>
  <c r="Q266" i="11"/>
  <c r="Q260" i="11"/>
  <c r="Q254" i="11"/>
  <c r="Q248" i="11"/>
  <c r="Q242" i="11"/>
  <c r="Q236" i="11"/>
  <c r="Q352" i="11"/>
  <c r="Q334" i="11"/>
  <c r="Q316" i="11"/>
  <c r="Q298" i="11"/>
  <c r="Q358" i="11"/>
  <c r="Q340" i="11"/>
  <c r="Q322" i="11"/>
  <c r="Q304" i="11"/>
  <c r="Q275" i="11"/>
  <c r="Q269" i="11"/>
  <c r="Q263" i="11"/>
  <c r="Q257" i="11"/>
  <c r="Q251" i="11"/>
  <c r="Q245" i="11"/>
  <c r="Q239" i="11"/>
  <c r="Q233" i="11"/>
  <c r="Q227" i="11"/>
  <c r="Q221" i="11"/>
  <c r="Q215" i="11"/>
  <c r="Q209" i="11"/>
  <c r="Q203" i="11"/>
  <c r="Q229" i="11"/>
  <c r="Q222" i="11"/>
  <c r="Q218" i="11"/>
  <c r="Q211" i="11"/>
  <c r="Q204" i="11"/>
  <c r="Q274" i="11"/>
  <c r="Q261" i="11"/>
  <c r="Q256" i="11"/>
  <c r="Q244" i="11"/>
  <c r="Q238" i="11"/>
  <c r="Q232" i="11"/>
  <c r="Q226" i="11"/>
  <c r="Q219" i="11"/>
  <c r="Q208" i="11"/>
  <c r="Q201" i="11"/>
  <c r="Q230" i="11"/>
  <c r="Q223" i="11"/>
  <c r="Q216" i="11"/>
  <c r="Q212" i="11"/>
  <c r="Q205" i="11"/>
  <c r="Q273" i="11"/>
  <c r="Q268" i="11"/>
  <c r="Q255" i="11"/>
  <c r="Q250" i="11"/>
  <c r="Q220" i="11"/>
  <c r="Q213" i="11"/>
  <c r="Q202" i="11"/>
  <c r="Q247" i="11"/>
  <c r="Q243" i="11"/>
  <c r="Q241" i="11"/>
  <c r="Q237" i="11"/>
  <c r="Q235" i="11"/>
  <c r="Q231" i="11"/>
  <c r="Q228" i="11"/>
  <c r="Q224" i="11"/>
  <c r="Q217" i="11"/>
  <c r="Q210" i="11"/>
  <c r="Q206" i="11"/>
  <c r="Q267" i="11"/>
  <c r="Q262" i="11"/>
  <c r="Q249" i="11"/>
  <c r="Q225" i="11"/>
  <c r="Q214" i="11"/>
  <c r="Q207" i="11"/>
  <c r="R349" i="11"/>
  <c r="R289" i="11"/>
  <c r="R283" i="11"/>
  <c r="R350" i="11"/>
  <c r="R290" i="11"/>
  <c r="R284" i="11"/>
  <c r="R278" i="11"/>
  <c r="R351" i="11"/>
  <c r="R291" i="11"/>
  <c r="R285" i="11"/>
  <c r="R292" i="11"/>
  <c r="R286" i="11"/>
  <c r="R348" i="11"/>
  <c r="R288" i="11"/>
  <c r="R287" i="11"/>
  <c r="R293" i="11"/>
  <c r="R198" i="11"/>
  <c r="R192" i="11"/>
  <c r="R277" i="11"/>
  <c r="R197" i="11"/>
  <c r="R190" i="11"/>
  <c r="R186" i="11"/>
  <c r="R180" i="11"/>
  <c r="R174" i="11"/>
  <c r="R194" i="11"/>
  <c r="R187" i="11"/>
  <c r="R181" i="11"/>
  <c r="R175" i="11"/>
  <c r="R172" i="11"/>
  <c r="R195" i="11"/>
  <c r="R191" i="11"/>
  <c r="R182" i="11"/>
  <c r="R176" i="11"/>
  <c r="R170" i="11"/>
  <c r="R199" i="11"/>
  <c r="R188" i="11"/>
  <c r="R183" i="11"/>
  <c r="R177" i="11"/>
  <c r="R171" i="11"/>
  <c r="R196" i="11"/>
  <c r="R189" i="11"/>
  <c r="R184" i="11"/>
  <c r="R178" i="11"/>
  <c r="R200" i="11"/>
  <c r="R193" i="11"/>
  <c r="R185" i="11"/>
  <c r="R179" i="11"/>
  <c r="R173" i="11"/>
  <c r="R361" i="11"/>
  <c r="R355" i="11"/>
  <c r="R343" i="11"/>
  <c r="R337" i="11"/>
  <c r="R331" i="11"/>
  <c r="R325" i="11"/>
  <c r="R319" i="11"/>
  <c r="R313" i="11"/>
  <c r="R307" i="11"/>
  <c r="R301" i="11"/>
  <c r="R295" i="11"/>
  <c r="R356" i="11"/>
  <c r="R344" i="11"/>
  <c r="R338" i="11"/>
  <c r="R332" i="11"/>
  <c r="R326" i="11"/>
  <c r="R320" i="11"/>
  <c r="R314" i="11"/>
  <c r="R308" i="11"/>
  <c r="R302" i="11"/>
  <c r="R296" i="11"/>
  <c r="R357" i="11"/>
  <c r="R345" i="11"/>
  <c r="R339" i="11"/>
  <c r="R333" i="11"/>
  <c r="R327" i="11"/>
  <c r="R321" i="11"/>
  <c r="R315" i="11"/>
  <c r="R309" i="11"/>
  <c r="R303" i="11"/>
  <c r="R297" i="11"/>
  <c r="R358" i="11"/>
  <c r="R352" i="11"/>
  <c r="R346" i="11"/>
  <c r="R340" i="11"/>
  <c r="R334" i="11"/>
  <c r="R328" i="11"/>
  <c r="R322" i="11"/>
  <c r="R316" i="11"/>
  <c r="R310" i="11"/>
  <c r="R304" i="11"/>
  <c r="R298" i="11"/>
  <c r="R360" i="11"/>
  <c r="R354" i="11"/>
  <c r="R342" i="11"/>
  <c r="R336" i="11"/>
  <c r="R330" i="11"/>
  <c r="R324" i="11"/>
  <c r="R318" i="11"/>
  <c r="R312" i="11"/>
  <c r="R306" i="11"/>
  <c r="R300" i="11"/>
  <c r="R294" i="11"/>
  <c r="R276" i="11"/>
  <c r="R271" i="11"/>
  <c r="R265" i="11"/>
  <c r="R259" i="11"/>
  <c r="R253" i="11"/>
  <c r="R247" i="11"/>
  <c r="R241" i="11"/>
  <c r="R235" i="11"/>
  <c r="R353" i="11"/>
  <c r="R335" i="11"/>
  <c r="R317" i="11"/>
  <c r="R299" i="11"/>
  <c r="R272" i="11"/>
  <c r="R266" i="11"/>
  <c r="R260" i="11"/>
  <c r="R254" i="11"/>
  <c r="R248" i="11"/>
  <c r="R273" i="11"/>
  <c r="R267" i="11"/>
  <c r="R261" i="11"/>
  <c r="R255" i="11"/>
  <c r="R249" i="11"/>
  <c r="R243" i="11"/>
  <c r="R237" i="11"/>
  <c r="R231" i="11"/>
  <c r="R359" i="11"/>
  <c r="R341" i="11"/>
  <c r="R323" i="11"/>
  <c r="R305" i="11"/>
  <c r="R347" i="11"/>
  <c r="R329" i="11"/>
  <c r="R311" i="11"/>
  <c r="R270" i="11"/>
  <c r="R264" i="11"/>
  <c r="R258" i="11"/>
  <c r="R252" i="11"/>
  <c r="R246" i="11"/>
  <c r="R240" i="11"/>
  <c r="R234" i="11"/>
  <c r="R228" i="11"/>
  <c r="R222" i="11"/>
  <c r="R216" i="11"/>
  <c r="R210" i="11"/>
  <c r="R204" i="11"/>
  <c r="R274" i="11"/>
  <c r="R269" i="11"/>
  <c r="R256" i="11"/>
  <c r="R251" i="11"/>
  <c r="R244" i="11"/>
  <c r="R238" i="11"/>
  <c r="R232" i="11"/>
  <c r="R226" i="11"/>
  <c r="R219" i="11"/>
  <c r="R215" i="11"/>
  <c r="R208" i="11"/>
  <c r="R201" i="11"/>
  <c r="R242" i="11"/>
  <c r="R236" i="11"/>
  <c r="R230" i="11"/>
  <c r="R223" i="11"/>
  <c r="R212" i="11"/>
  <c r="R205" i="11"/>
  <c r="R268" i="11"/>
  <c r="R263" i="11"/>
  <c r="R250" i="11"/>
  <c r="R227" i="11"/>
  <c r="R220" i="11"/>
  <c r="R213" i="11"/>
  <c r="R209" i="11"/>
  <c r="R202" i="11"/>
  <c r="R224" i="11"/>
  <c r="R217" i="11"/>
  <c r="R206" i="11"/>
  <c r="R275" i="11"/>
  <c r="R262" i="11"/>
  <c r="R257" i="11"/>
  <c r="R245" i="11"/>
  <c r="R239" i="11"/>
  <c r="R233" i="11"/>
  <c r="R225" i="11"/>
  <c r="R221" i="11"/>
  <c r="R214" i="11"/>
  <c r="R207" i="11"/>
  <c r="R203" i="11"/>
  <c r="R229" i="11"/>
  <c r="R218" i="11"/>
  <c r="R211" i="11"/>
  <c r="H161" i="11"/>
  <c r="AC10" i="5"/>
  <c r="AC16" i="5" s="1"/>
  <c r="AC28" i="5" s="1"/>
  <c r="AC48" i="5" s="1"/>
  <c r="AC79" i="5" s="1"/>
  <c r="Y10" i="11"/>
  <c r="Y12" i="11" s="1"/>
  <c r="X12" i="11"/>
  <c r="W136" i="11"/>
  <c r="T84" i="11"/>
  <c r="T85" i="11" s="1"/>
  <c r="Y84" i="11" s="1"/>
  <c r="V17" i="8"/>
  <c r="V29" i="8" s="1"/>
  <c r="V41" i="8" s="1"/>
  <c r="V62" i="8" s="1"/>
  <c r="Y20" i="8"/>
  <c r="Y12" i="8"/>
  <c r="AD15" i="8"/>
  <c r="AB17" i="8"/>
  <c r="AB29" i="8" s="1"/>
  <c r="AB41" i="8" s="1"/>
  <c r="AB62" i="8" s="1"/>
  <c r="AC17" i="8"/>
  <c r="AC29" i="8" s="1"/>
  <c r="AC41" i="8" s="1"/>
  <c r="AC62" i="8" s="1"/>
  <c r="AD10" i="8"/>
  <c r="Z17" i="8"/>
  <c r="Z29" i="8" s="1"/>
  <c r="Z41" i="8" s="1"/>
  <c r="Y59" i="8"/>
  <c r="Y60" i="8" s="1"/>
  <c r="U60" i="8"/>
  <c r="U85" i="8"/>
  <c r="AD13" i="8"/>
  <c r="AA17" i="8"/>
  <c r="AA29" i="8" s="1"/>
  <c r="AA41" i="8" s="1"/>
  <c r="AA62" i="8" s="1"/>
  <c r="W17" i="8"/>
  <c r="W29" i="8" s="1"/>
  <c r="W41" i="8" s="1"/>
  <c r="W62" i="8" s="1"/>
  <c r="X17" i="8"/>
  <c r="X29" i="8" s="1"/>
  <c r="X41" i="8" s="1"/>
  <c r="X62" i="8" s="1"/>
  <c r="U51" i="7"/>
  <c r="U43" i="7"/>
  <c r="V42" i="7" s="1"/>
  <c r="V43" i="7" s="1"/>
  <c r="W42" i="7" s="1"/>
  <c r="W43" i="7" s="1"/>
  <c r="X42" i="7" s="1"/>
  <c r="X43" i="7" s="1"/>
  <c r="Y10" i="8"/>
  <c r="U17" i="8"/>
  <c r="U29" i="8" s="1"/>
  <c r="AD20" i="8"/>
  <c r="Z42" i="7"/>
  <c r="Z43" i="7" s="1"/>
  <c r="AA42" i="7" s="1"/>
  <c r="AA43" i="7" s="1"/>
  <c r="AB42" i="7" s="1"/>
  <c r="AB43" i="7" s="1"/>
  <c r="AC42" i="7" s="1"/>
  <c r="AC43" i="7" s="1"/>
  <c r="AD42" i="7"/>
  <c r="AD43" i="7" s="1"/>
  <c r="Y13" i="8"/>
  <c r="AD12" i="8"/>
  <c r="AD59" i="8"/>
  <c r="AD60" i="8" s="1"/>
  <c r="Z60" i="8"/>
  <c r="Y15" i="8"/>
  <c r="M119" i="8"/>
  <c r="N119" i="8" s="1"/>
  <c r="M120" i="8"/>
  <c r="N120" i="8" s="1"/>
  <c r="H39" i="2"/>
  <c r="M122" i="8"/>
  <c r="N122" i="8" s="1"/>
  <c r="M118" i="8"/>
  <c r="N118" i="8" s="1"/>
  <c r="G39" i="2"/>
  <c r="I39" i="2"/>
  <c r="M121" i="8"/>
  <c r="N121" i="8" s="1"/>
  <c r="I38" i="2"/>
  <c r="S123" i="8" s="1"/>
  <c r="H38" i="2"/>
  <c r="R123" i="8" s="1"/>
  <c r="G38" i="2"/>
  <c r="Q123" i="8" s="1"/>
  <c r="F38" i="2"/>
  <c r="P123" i="8" s="1"/>
  <c r="I36" i="2"/>
  <c r="H36" i="2"/>
  <c r="G36" i="2"/>
  <c r="F36" i="2"/>
  <c r="X230" i="5"/>
  <c r="X229" i="5" s="1"/>
  <c r="AA10" i="5"/>
  <c r="AA16" i="5" s="1"/>
  <c r="AA28" i="5" s="1"/>
  <c r="AA48" i="5" s="1"/>
  <c r="AA79" i="5" s="1"/>
  <c r="AB10" i="5"/>
  <c r="AB16" i="5" s="1"/>
  <c r="AB28" i="5" s="1"/>
  <c r="AB48" i="5" s="1"/>
  <c r="AB79" i="5" s="1"/>
  <c r="Z10" i="5"/>
  <c r="Z16" i="5" s="1"/>
  <c r="Z28" i="5" s="1"/>
  <c r="Z48" i="5" s="1"/>
  <c r="Z79" i="5" s="1"/>
  <c r="V230" i="5"/>
  <c r="V229" i="5" s="1"/>
  <c r="W10" i="5"/>
  <c r="W16" i="5" s="1"/>
  <c r="W28" i="5" s="1"/>
  <c r="W48" i="5" s="1"/>
  <c r="W230" i="5"/>
  <c r="W229" i="5" s="1"/>
  <c r="H350" i="11"/>
  <c r="H197" i="11"/>
  <c r="H191" i="11"/>
  <c r="H185" i="11"/>
  <c r="H179" i="11"/>
  <c r="H173" i="11"/>
  <c r="H196" i="11"/>
  <c r="H190" i="11"/>
  <c r="H184" i="11"/>
  <c r="H178" i="11"/>
  <c r="H172" i="11"/>
  <c r="H351" i="11"/>
  <c r="H348" i="11"/>
  <c r="H293" i="11"/>
  <c r="H292" i="11"/>
  <c r="H291" i="11"/>
  <c r="H290" i="11"/>
  <c r="H289" i="11"/>
  <c r="H288" i="11"/>
  <c r="H287" i="11"/>
  <c r="H284" i="11"/>
  <c r="H283" i="11"/>
  <c r="H278" i="11"/>
  <c r="H200" i="11"/>
  <c r="H194" i="11"/>
  <c r="H188" i="11"/>
  <c r="H182" i="11"/>
  <c r="H176" i="11"/>
  <c r="H170" i="11"/>
  <c r="H349" i="11"/>
  <c r="H277" i="11"/>
  <c r="H199" i="11"/>
  <c r="H193" i="11"/>
  <c r="H187" i="11"/>
  <c r="H181" i="11"/>
  <c r="H175" i="11"/>
  <c r="H286" i="11"/>
  <c r="H285" i="11"/>
  <c r="H198" i="11"/>
  <c r="H180" i="11"/>
  <c r="H195" i="11"/>
  <c r="H177" i="11"/>
  <c r="H192" i="11"/>
  <c r="H174" i="11"/>
  <c r="H189" i="11"/>
  <c r="H171" i="11"/>
  <c r="H186" i="11"/>
  <c r="H183" i="11"/>
  <c r="H167" i="11"/>
  <c r="H166" i="11"/>
  <c r="H282" i="11"/>
  <c r="H164" i="11"/>
  <c r="H169" i="11"/>
  <c r="H163" i="11"/>
  <c r="H162" i="11"/>
  <c r="H165" i="11"/>
  <c r="H281" i="11"/>
  <c r="H280" i="11"/>
  <c r="H279" i="11"/>
  <c r="H168" i="11"/>
  <c r="H359" i="11"/>
  <c r="H356" i="11"/>
  <c r="H353" i="11"/>
  <c r="H275" i="11"/>
  <c r="H269" i="11"/>
  <c r="H263" i="11"/>
  <c r="H257" i="11"/>
  <c r="H251" i="11"/>
  <c r="H245" i="11"/>
  <c r="H239" i="11"/>
  <c r="H233" i="11"/>
  <c r="H227" i="11"/>
  <c r="H221" i="11"/>
  <c r="H215" i="11"/>
  <c r="H209" i="11"/>
  <c r="H203" i="11"/>
  <c r="H274" i="11"/>
  <c r="H268" i="11"/>
  <c r="H262" i="11"/>
  <c r="H256" i="11"/>
  <c r="H250" i="11"/>
  <c r="H244" i="11"/>
  <c r="H238" i="11"/>
  <c r="H232" i="11"/>
  <c r="H226" i="11"/>
  <c r="H220" i="11"/>
  <c r="H214" i="11"/>
  <c r="H208" i="11"/>
  <c r="H202" i="11"/>
  <c r="H360" i="11"/>
  <c r="H357" i="11"/>
  <c r="H354" i="11"/>
  <c r="H347" i="11"/>
  <c r="H346" i="11"/>
  <c r="H345" i="11"/>
  <c r="H344" i="11"/>
  <c r="H343" i="11"/>
  <c r="H342" i="11"/>
  <c r="H341" i="11"/>
  <c r="H340" i="11"/>
  <c r="H339" i="11"/>
  <c r="H338" i="11"/>
  <c r="H337" i="11"/>
  <c r="H336" i="11"/>
  <c r="H335" i="11"/>
  <c r="H334" i="11"/>
  <c r="H333" i="11"/>
  <c r="H332" i="11"/>
  <c r="H331" i="11"/>
  <c r="H330" i="11"/>
  <c r="H329" i="11"/>
  <c r="H328" i="11"/>
  <c r="H327" i="11"/>
  <c r="H326" i="11"/>
  <c r="H325" i="11"/>
  <c r="H324" i="11"/>
  <c r="H323" i="11"/>
  <c r="H322" i="11"/>
  <c r="H321" i="11"/>
  <c r="H320" i="11"/>
  <c r="H319" i="11"/>
  <c r="H318" i="11"/>
  <c r="H317" i="11"/>
  <c r="H316" i="11"/>
  <c r="H315" i="11"/>
  <c r="H314" i="11"/>
  <c r="H313" i="11"/>
  <c r="H312" i="11"/>
  <c r="H311" i="11"/>
  <c r="H310" i="11"/>
  <c r="H309" i="11"/>
  <c r="H308" i="11"/>
  <c r="H307" i="11"/>
  <c r="H306" i="11"/>
  <c r="H305" i="11"/>
  <c r="H304" i="11"/>
  <c r="H303" i="11"/>
  <c r="H302" i="11"/>
  <c r="H301" i="11"/>
  <c r="H300" i="11"/>
  <c r="H299" i="11"/>
  <c r="H298" i="11"/>
  <c r="H297" i="11"/>
  <c r="H296" i="11"/>
  <c r="H295" i="11"/>
  <c r="H294" i="11"/>
  <c r="H272" i="11"/>
  <c r="H266" i="11"/>
  <c r="H260" i="11"/>
  <c r="H254" i="11"/>
  <c r="H248" i="11"/>
  <c r="H242" i="11"/>
  <c r="H236" i="11"/>
  <c r="H230" i="11"/>
  <c r="H224" i="11"/>
  <c r="H218" i="11"/>
  <c r="H212" i="11"/>
  <c r="H206" i="11"/>
  <c r="H361" i="11"/>
  <c r="H358" i="11"/>
  <c r="H355" i="11"/>
  <c r="H352" i="11"/>
  <c r="H271" i="11"/>
  <c r="H265" i="11"/>
  <c r="H259" i="11"/>
  <c r="H253" i="11"/>
  <c r="H247" i="11"/>
  <c r="H241" i="11"/>
  <c r="H235" i="11"/>
  <c r="H229" i="11"/>
  <c r="H223" i="11"/>
  <c r="H217" i="11"/>
  <c r="H211" i="11"/>
  <c r="H205" i="11"/>
  <c r="H270" i="11"/>
  <c r="H252" i="11"/>
  <c r="H234" i="11"/>
  <c r="H216" i="11"/>
  <c r="H267" i="11"/>
  <c r="H249" i="11"/>
  <c r="H231" i="11"/>
  <c r="H213" i="11"/>
  <c r="H264" i="11"/>
  <c r="H246" i="11"/>
  <c r="H228" i="11"/>
  <c r="H210" i="11"/>
  <c r="H273" i="11"/>
  <c r="H219" i="11"/>
  <c r="H261" i="11"/>
  <c r="H243" i="11"/>
  <c r="H225" i="11"/>
  <c r="H207" i="11"/>
  <c r="H255" i="11"/>
  <c r="H201" i="11"/>
  <c r="H276" i="11"/>
  <c r="H258" i="11"/>
  <c r="H240" i="11"/>
  <c r="H222" i="11"/>
  <c r="H204" i="11"/>
  <c r="H237" i="11"/>
  <c r="AC10" i="4"/>
  <c r="AC16" i="4" s="1"/>
  <c r="X10" i="4"/>
  <c r="X16" i="4" s="1"/>
  <c r="AA10" i="4"/>
  <c r="AA16" i="4" s="1"/>
  <c r="AB10" i="4"/>
  <c r="AB16" i="4" s="1"/>
  <c r="W10" i="4"/>
  <c r="W16" i="4" s="1"/>
  <c r="V10" i="4"/>
  <c r="V16" i="4" s="1"/>
  <c r="V27" i="4" s="1"/>
  <c r="V111" i="4" s="1"/>
  <c r="V112" i="4" s="1"/>
  <c r="Z10" i="4"/>
  <c r="Z16" i="4" s="1"/>
  <c r="X16" i="5"/>
  <c r="X28" i="5" s="1"/>
  <c r="Y137" i="11"/>
  <c r="Y101" i="11"/>
  <c r="Y111" i="11"/>
  <c r="X131" i="11"/>
  <c r="X114" i="11"/>
  <c r="M160" i="11" l="1"/>
  <c r="W264" i="11"/>
  <c r="V264" i="11"/>
  <c r="X264" i="11"/>
  <c r="W361" i="11"/>
  <c r="V361" i="11"/>
  <c r="X361" i="11"/>
  <c r="W214" i="11"/>
  <c r="V214" i="11"/>
  <c r="X214" i="11"/>
  <c r="W353" i="11"/>
  <c r="V353" i="11"/>
  <c r="X353" i="11"/>
  <c r="V189" i="11"/>
  <c r="W189" i="11"/>
  <c r="X189" i="11"/>
  <c r="V193" i="11"/>
  <c r="W193" i="11"/>
  <c r="X193" i="11"/>
  <c r="V191" i="11"/>
  <c r="W191" i="11"/>
  <c r="X191" i="11"/>
  <c r="V237" i="11"/>
  <c r="W237" i="11"/>
  <c r="X237" i="11"/>
  <c r="W252" i="11"/>
  <c r="V252" i="11"/>
  <c r="X252" i="11"/>
  <c r="V242" i="11"/>
  <c r="W242" i="11"/>
  <c r="X242" i="11"/>
  <c r="W256" i="11"/>
  <c r="V256" i="11"/>
  <c r="X256" i="11"/>
  <c r="V165" i="11"/>
  <c r="W165" i="11"/>
  <c r="X165" i="11"/>
  <c r="V258" i="11"/>
  <c r="W258" i="11"/>
  <c r="X258" i="11"/>
  <c r="V243" i="11"/>
  <c r="W243" i="11"/>
  <c r="X243" i="11"/>
  <c r="W246" i="11"/>
  <c r="V246" i="11"/>
  <c r="X246" i="11"/>
  <c r="W216" i="11"/>
  <c r="V216" i="11"/>
  <c r="X216" i="11"/>
  <c r="V217" i="11"/>
  <c r="W217" i="11"/>
  <c r="X217" i="11"/>
  <c r="V253" i="11"/>
  <c r="W253" i="11"/>
  <c r="X253" i="11"/>
  <c r="W358" i="11"/>
  <c r="X358" i="11"/>
  <c r="V358" i="11"/>
  <c r="W230" i="11"/>
  <c r="V230" i="11"/>
  <c r="X230" i="11"/>
  <c r="V266" i="11"/>
  <c r="W266" i="11"/>
  <c r="X266" i="11"/>
  <c r="W208" i="11"/>
  <c r="V208" i="11"/>
  <c r="X208" i="11"/>
  <c r="W244" i="11"/>
  <c r="V244" i="11"/>
  <c r="X244" i="11"/>
  <c r="V203" i="11"/>
  <c r="W203" i="11"/>
  <c r="X203" i="11"/>
  <c r="V239" i="11"/>
  <c r="W239" i="11"/>
  <c r="X239" i="11"/>
  <c r="V275" i="11"/>
  <c r="W275" i="11"/>
  <c r="X275" i="11"/>
  <c r="W164" i="11"/>
  <c r="V164" i="11"/>
  <c r="X164" i="11"/>
  <c r="V171" i="11"/>
  <c r="W171" i="11"/>
  <c r="X171" i="11"/>
  <c r="W180" i="11"/>
  <c r="V180" i="11"/>
  <c r="X180" i="11"/>
  <c r="V187" i="11"/>
  <c r="W187" i="11"/>
  <c r="X187" i="11"/>
  <c r="W176" i="11"/>
  <c r="V176" i="11"/>
  <c r="X176" i="11"/>
  <c r="V178" i="11"/>
  <c r="W178" i="11"/>
  <c r="X178" i="11"/>
  <c r="V185" i="11"/>
  <c r="W185" i="11"/>
  <c r="X185" i="11"/>
  <c r="V234" i="11"/>
  <c r="W234" i="11"/>
  <c r="X234" i="11"/>
  <c r="W236" i="11"/>
  <c r="V236" i="11"/>
  <c r="X236" i="11"/>
  <c r="V245" i="11"/>
  <c r="W245" i="11"/>
  <c r="X245" i="11"/>
  <c r="V213" i="11"/>
  <c r="W213" i="11"/>
  <c r="X213" i="11"/>
  <c r="W206" i="11"/>
  <c r="V206" i="11"/>
  <c r="X206" i="11"/>
  <c r="W220" i="11"/>
  <c r="V220" i="11"/>
  <c r="X220" i="11"/>
  <c r="V251" i="11"/>
  <c r="W251" i="11"/>
  <c r="X251" i="11"/>
  <c r="W174" i="11"/>
  <c r="V174" i="11"/>
  <c r="X174" i="11"/>
  <c r="W190" i="11"/>
  <c r="V190" i="11"/>
  <c r="X190" i="11"/>
  <c r="V273" i="11"/>
  <c r="W273" i="11"/>
  <c r="X273" i="11"/>
  <c r="V235" i="11"/>
  <c r="W235" i="11"/>
  <c r="X235" i="11"/>
  <c r="V271" i="11"/>
  <c r="W271" i="11"/>
  <c r="X271" i="11"/>
  <c r="W212" i="11"/>
  <c r="V212" i="11"/>
  <c r="X212" i="11"/>
  <c r="W248" i="11"/>
  <c r="V248" i="11"/>
  <c r="X248" i="11"/>
  <c r="V357" i="11"/>
  <c r="W357" i="11"/>
  <c r="X357" i="11"/>
  <c r="V226" i="11"/>
  <c r="W226" i="11"/>
  <c r="X226" i="11"/>
  <c r="W262" i="11"/>
  <c r="V262" i="11"/>
  <c r="X262" i="11"/>
  <c r="V221" i="11"/>
  <c r="W221" i="11"/>
  <c r="X221" i="11"/>
  <c r="V257" i="11"/>
  <c r="W257" i="11"/>
  <c r="X257" i="11"/>
  <c r="W359" i="11"/>
  <c r="V359" i="11"/>
  <c r="X359" i="11"/>
  <c r="W162" i="11"/>
  <c r="V162" i="11"/>
  <c r="X162" i="11"/>
  <c r="V167" i="11"/>
  <c r="W167" i="11"/>
  <c r="X167" i="11"/>
  <c r="W192" i="11"/>
  <c r="V192" i="11"/>
  <c r="X192" i="11"/>
  <c r="V277" i="11"/>
  <c r="W277" i="11"/>
  <c r="X277" i="11"/>
  <c r="V194" i="11"/>
  <c r="W194" i="11"/>
  <c r="X194" i="11"/>
  <c r="W348" i="11"/>
  <c r="X348" i="11"/>
  <c r="V348" i="11"/>
  <c r="W196" i="11"/>
  <c r="V196" i="11"/>
  <c r="X196" i="11"/>
  <c r="V350" i="11"/>
  <c r="W350" i="11"/>
  <c r="X350" i="11"/>
  <c r="W276" i="11"/>
  <c r="V276" i="11"/>
  <c r="X276" i="11"/>
  <c r="V223" i="11"/>
  <c r="W223" i="11"/>
  <c r="X223" i="11"/>
  <c r="W272" i="11"/>
  <c r="V272" i="11"/>
  <c r="X272" i="11"/>
  <c r="V250" i="11"/>
  <c r="W250" i="11"/>
  <c r="X250" i="11"/>
  <c r="W182" i="11"/>
  <c r="V182" i="11"/>
  <c r="X182" i="11"/>
  <c r="V219" i="11"/>
  <c r="W219" i="11"/>
  <c r="X219" i="11"/>
  <c r="V265" i="11"/>
  <c r="W265" i="11"/>
  <c r="X265" i="11"/>
  <c r="V354" i="11"/>
  <c r="W354" i="11"/>
  <c r="X354" i="11"/>
  <c r="V356" i="11"/>
  <c r="W356" i="11"/>
  <c r="X356" i="11"/>
  <c r="W188" i="11"/>
  <c r="V188" i="11"/>
  <c r="X188" i="11"/>
  <c r="W204" i="11"/>
  <c r="V204" i="11"/>
  <c r="X204" i="11"/>
  <c r="V231" i="11"/>
  <c r="W231" i="11"/>
  <c r="X231" i="11"/>
  <c r="W222" i="11"/>
  <c r="V222" i="11"/>
  <c r="X222" i="11"/>
  <c r="V207" i="11"/>
  <c r="W207" i="11"/>
  <c r="X207" i="11"/>
  <c r="V210" i="11"/>
  <c r="W210" i="11"/>
  <c r="X210" i="11"/>
  <c r="V249" i="11"/>
  <c r="W249" i="11"/>
  <c r="X249" i="11"/>
  <c r="V205" i="11"/>
  <c r="W205" i="11"/>
  <c r="X205" i="11"/>
  <c r="V241" i="11"/>
  <c r="W241" i="11"/>
  <c r="X241" i="11"/>
  <c r="V352" i="11"/>
  <c r="W352" i="11"/>
  <c r="X352" i="11"/>
  <c r="V218" i="11"/>
  <c r="W218" i="11"/>
  <c r="X218" i="11"/>
  <c r="W254" i="11"/>
  <c r="V254" i="11"/>
  <c r="X254" i="11"/>
  <c r="V360" i="11"/>
  <c r="W360" i="11"/>
  <c r="X360" i="11"/>
  <c r="W232" i="11"/>
  <c r="V232" i="11"/>
  <c r="X232" i="11"/>
  <c r="W268" i="11"/>
  <c r="V268" i="11"/>
  <c r="X268" i="11"/>
  <c r="V227" i="11"/>
  <c r="W227" i="11"/>
  <c r="X227" i="11"/>
  <c r="V263" i="11"/>
  <c r="W263" i="11"/>
  <c r="X263" i="11"/>
  <c r="V168" i="11"/>
  <c r="W168" i="11"/>
  <c r="X168" i="11"/>
  <c r="V163" i="11"/>
  <c r="W163" i="11"/>
  <c r="X163" i="11"/>
  <c r="V183" i="11"/>
  <c r="W183" i="11"/>
  <c r="X183" i="11"/>
  <c r="V177" i="11"/>
  <c r="W177" i="11"/>
  <c r="X177" i="11"/>
  <c r="V175" i="11"/>
  <c r="W175" i="11"/>
  <c r="X175" i="11"/>
  <c r="W349" i="11"/>
  <c r="V349" i="11"/>
  <c r="X349" i="11"/>
  <c r="W200" i="11"/>
  <c r="V200" i="11"/>
  <c r="X200" i="11"/>
  <c r="V351" i="11"/>
  <c r="W351" i="11"/>
  <c r="X351" i="11"/>
  <c r="V173" i="11"/>
  <c r="W173" i="11"/>
  <c r="X173" i="11"/>
  <c r="V261" i="11"/>
  <c r="W261" i="11"/>
  <c r="X261" i="11"/>
  <c r="V259" i="11"/>
  <c r="W259" i="11"/>
  <c r="X259" i="11"/>
  <c r="V209" i="11"/>
  <c r="W209" i="11"/>
  <c r="X209" i="11"/>
  <c r="W198" i="11"/>
  <c r="V198" i="11"/>
  <c r="X198" i="11"/>
  <c r="W184" i="11"/>
  <c r="V184" i="11"/>
  <c r="X184" i="11"/>
  <c r="V201" i="11"/>
  <c r="W201" i="11"/>
  <c r="X201" i="11"/>
  <c r="V229" i="11"/>
  <c r="W229" i="11"/>
  <c r="X229" i="11"/>
  <c r="V215" i="11"/>
  <c r="W215" i="11"/>
  <c r="X215" i="11"/>
  <c r="W166" i="11"/>
  <c r="V166" i="11"/>
  <c r="X166" i="11"/>
  <c r="V199" i="11"/>
  <c r="W199" i="11"/>
  <c r="X199" i="11"/>
  <c r="V197" i="11"/>
  <c r="W197" i="11"/>
  <c r="X197" i="11"/>
  <c r="V255" i="11"/>
  <c r="W255" i="11"/>
  <c r="X255" i="11"/>
  <c r="W270" i="11"/>
  <c r="V270" i="11"/>
  <c r="X270" i="11"/>
  <c r="W240" i="11"/>
  <c r="V240" i="11"/>
  <c r="X240" i="11"/>
  <c r="V225" i="11"/>
  <c r="W225" i="11"/>
  <c r="X225" i="11"/>
  <c r="W228" i="11"/>
  <c r="V228" i="11"/>
  <c r="X228" i="11"/>
  <c r="V267" i="11"/>
  <c r="W267" i="11"/>
  <c r="X267" i="11"/>
  <c r="V211" i="11"/>
  <c r="W211" i="11"/>
  <c r="X211" i="11"/>
  <c r="V247" i="11"/>
  <c r="W247" i="11"/>
  <c r="X247" i="11"/>
  <c r="W355" i="11"/>
  <c r="V355" i="11"/>
  <c r="X355" i="11"/>
  <c r="W224" i="11"/>
  <c r="V224" i="11"/>
  <c r="X224" i="11"/>
  <c r="W260" i="11"/>
  <c r="V260" i="11"/>
  <c r="X260" i="11"/>
  <c r="V202" i="11"/>
  <c r="W202" i="11"/>
  <c r="X202" i="11"/>
  <c r="W238" i="11"/>
  <c r="V238" i="11"/>
  <c r="X238" i="11"/>
  <c r="V274" i="11"/>
  <c r="W274" i="11"/>
  <c r="X274" i="11"/>
  <c r="V233" i="11"/>
  <c r="W233" i="11"/>
  <c r="X233" i="11"/>
  <c r="V269" i="11"/>
  <c r="W269" i="11"/>
  <c r="X269" i="11"/>
  <c r="V169" i="11"/>
  <c r="W169" i="11"/>
  <c r="X169" i="11"/>
  <c r="V186" i="11"/>
  <c r="W186" i="11"/>
  <c r="X186" i="11"/>
  <c r="V195" i="11"/>
  <c r="W195" i="11"/>
  <c r="X195" i="11"/>
  <c r="V181" i="11"/>
  <c r="W181" i="11"/>
  <c r="X181" i="11"/>
  <c r="V170" i="11"/>
  <c r="W170" i="11"/>
  <c r="X170" i="11"/>
  <c r="W278" i="11"/>
  <c r="V278" i="11"/>
  <c r="X278" i="11"/>
  <c r="W172" i="11"/>
  <c r="V172" i="11"/>
  <c r="X172" i="11"/>
  <c r="V179" i="11"/>
  <c r="W179" i="11"/>
  <c r="X179" i="11"/>
  <c r="V161" i="11"/>
  <c r="W161" i="11"/>
  <c r="X161" i="11"/>
  <c r="L129" i="6"/>
  <c r="P188" i="11"/>
  <c r="M188" i="11" s="1"/>
  <c r="P195" i="11"/>
  <c r="P198" i="11"/>
  <c r="M198" i="11" s="1"/>
  <c r="P185" i="11"/>
  <c r="M185" i="11" s="1"/>
  <c r="P178" i="11"/>
  <c r="M178" i="11" s="1"/>
  <c r="P291" i="11"/>
  <c r="M291" i="11" s="1"/>
  <c r="P278" i="11"/>
  <c r="M278" i="11" s="1"/>
  <c r="P349" i="11"/>
  <c r="M349" i="11" s="1"/>
  <c r="P287" i="11"/>
  <c r="M287" i="11" s="1"/>
  <c r="S179" i="11"/>
  <c r="S189" i="11"/>
  <c r="S183" i="11"/>
  <c r="S195" i="11"/>
  <c r="S193" i="11"/>
  <c r="S283" i="11"/>
  <c r="S292" i="11"/>
  <c r="S350" i="11"/>
  <c r="L128" i="6"/>
  <c r="P199" i="11"/>
  <c r="M199" i="11" s="1"/>
  <c r="P181" i="11"/>
  <c r="M181" i="11" s="1"/>
  <c r="P180" i="11"/>
  <c r="M180" i="11" s="1"/>
  <c r="P197" i="11"/>
  <c r="P189" i="11"/>
  <c r="M189" i="11" s="1"/>
  <c r="P285" i="11"/>
  <c r="M285" i="11" s="1"/>
  <c r="P290" i="11"/>
  <c r="M290" i="11" s="1"/>
  <c r="L172" i="5"/>
  <c r="L170" i="5"/>
  <c r="L126" i="6"/>
  <c r="P171" i="11"/>
  <c r="M171" i="11" s="1"/>
  <c r="P170" i="11"/>
  <c r="M170" i="11" s="1"/>
  <c r="P187" i="11"/>
  <c r="P186" i="11"/>
  <c r="M186" i="11" s="1"/>
  <c r="P200" i="11"/>
  <c r="M200" i="11" s="1"/>
  <c r="P190" i="11"/>
  <c r="M190" i="11" s="1"/>
  <c r="L171" i="5"/>
  <c r="P350" i="11"/>
  <c r="L175" i="5"/>
  <c r="L173" i="5"/>
  <c r="L131" i="6"/>
  <c r="P177" i="11"/>
  <c r="P176" i="11"/>
  <c r="M176" i="11" s="1"/>
  <c r="P191" i="11"/>
  <c r="P173" i="11"/>
  <c r="M173" i="11" s="1"/>
  <c r="P277" i="11"/>
  <c r="P196" i="11"/>
  <c r="M196" i="11" s="1"/>
  <c r="P286" i="11"/>
  <c r="P283" i="11"/>
  <c r="P288" i="11"/>
  <c r="M288" i="11" s="1"/>
  <c r="L130" i="6"/>
  <c r="P183" i="11"/>
  <c r="P182" i="11"/>
  <c r="M182" i="11" s="1"/>
  <c r="P194" i="11"/>
  <c r="M194" i="11" s="1"/>
  <c r="P179" i="11"/>
  <c r="P172" i="11"/>
  <c r="M172" i="11" s="1"/>
  <c r="P351" i="11"/>
  <c r="M351" i="11" s="1"/>
  <c r="P292" i="11"/>
  <c r="P289" i="11"/>
  <c r="M289" i="11" s="1"/>
  <c r="S197" i="11"/>
  <c r="S184" i="11"/>
  <c r="M184" i="11" s="1"/>
  <c r="S177" i="11"/>
  <c r="S191" i="11"/>
  <c r="S187" i="11"/>
  <c r="S277" i="11"/>
  <c r="S286" i="11"/>
  <c r="L165" i="5"/>
  <c r="L166" i="5"/>
  <c r="M169" i="11"/>
  <c r="L167" i="5"/>
  <c r="M168" i="11"/>
  <c r="M282" i="11"/>
  <c r="M166" i="11"/>
  <c r="M161" i="11"/>
  <c r="M162" i="11"/>
  <c r="M210" i="11"/>
  <c r="M237" i="11"/>
  <c r="M230" i="11"/>
  <c r="M222" i="11"/>
  <c r="M208" i="11"/>
  <c r="M265" i="11"/>
  <c r="M270" i="11"/>
  <c r="M251" i="11"/>
  <c r="M304" i="11"/>
  <c r="M294" i="11"/>
  <c r="M330" i="11"/>
  <c r="M305" i="11"/>
  <c r="M341" i="11"/>
  <c r="M165" i="11"/>
  <c r="M281" i="11"/>
  <c r="M344" i="11"/>
  <c r="M361" i="11"/>
  <c r="M280" i="11"/>
  <c r="M206" i="11"/>
  <c r="M231" i="11"/>
  <c r="M273" i="11"/>
  <c r="M227" i="11"/>
  <c r="M248" i="11"/>
  <c r="M218" i="11"/>
  <c r="M207" i="11"/>
  <c r="M202" i="11"/>
  <c r="M238" i="11"/>
  <c r="M274" i="11"/>
  <c r="M259" i="11"/>
  <c r="M264" i="11"/>
  <c r="M245" i="11"/>
  <c r="M298" i="11"/>
  <c r="M334" i="11"/>
  <c r="M302" i="11"/>
  <c r="M338" i="11"/>
  <c r="M313" i="11"/>
  <c r="M355" i="11"/>
  <c r="M324" i="11"/>
  <c r="M299" i="11"/>
  <c r="M335" i="11"/>
  <c r="M348" i="11"/>
  <c r="M205" i="11"/>
  <c r="M340" i="11"/>
  <c r="M319" i="11"/>
  <c r="M167" i="11"/>
  <c r="M217" i="11"/>
  <c r="M243" i="11"/>
  <c r="M209" i="11"/>
  <c r="M201" i="11"/>
  <c r="M266" i="11"/>
  <c r="M229" i="11"/>
  <c r="M249" i="11"/>
  <c r="M214" i="11"/>
  <c r="M250" i="11"/>
  <c r="M315" i="11"/>
  <c r="M309" i="11"/>
  <c r="M235" i="11"/>
  <c r="M271" i="11"/>
  <c r="M303" i="11"/>
  <c r="M257" i="11"/>
  <c r="M310" i="11"/>
  <c r="M346" i="11"/>
  <c r="M314" i="11"/>
  <c r="M356" i="11"/>
  <c r="M325" i="11"/>
  <c r="M300" i="11"/>
  <c r="M336" i="11"/>
  <c r="M311" i="11"/>
  <c r="M347" i="11"/>
  <c r="M192" i="11"/>
  <c r="M175" i="11"/>
  <c r="M174" i="11"/>
  <c r="M193" i="11"/>
  <c r="M284" i="11"/>
  <c r="M293" i="11"/>
  <c r="K128" i="4"/>
  <c r="K131" i="4"/>
  <c r="K127" i="4"/>
  <c r="N127" i="4"/>
  <c r="L148" i="5"/>
  <c r="N128" i="4"/>
  <c r="L138" i="5"/>
  <c r="N125" i="4"/>
  <c r="N126" i="4"/>
  <c r="K125" i="4"/>
  <c r="N131" i="4"/>
  <c r="N132" i="4"/>
  <c r="L144" i="5"/>
  <c r="N129" i="4"/>
  <c r="L141" i="5"/>
  <c r="K132" i="4"/>
  <c r="L145" i="5"/>
  <c r="L143" i="5"/>
  <c r="L140" i="5"/>
  <c r="K130" i="4"/>
  <c r="L149" i="5"/>
  <c r="L142" i="5"/>
  <c r="L150" i="5"/>
  <c r="K126" i="4"/>
  <c r="K129" i="4"/>
  <c r="L146" i="5"/>
  <c r="L139" i="5"/>
  <c r="L147" i="5"/>
  <c r="N130" i="4"/>
  <c r="M225" i="11"/>
  <c r="M164" i="11"/>
  <c r="M221" i="11"/>
  <c r="M213" i="11"/>
  <c r="M212" i="11"/>
  <c r="M219" i="11"/>
  <c r="M204" i="11"/>
  <c r="M234" i="11"/>
  <c r="M254" i="11"/>
  <c r="M220" i="11"/>
  <c r="M256" i="11"/>
  <c r="M333" i="11"/>
  <c r="M327" i="11"/>
  <c r="M241" i="11"/>
  <c r="M276" i="11"/>
  <c r="M321" i="11"/>
  <c r="M263" i="11"/>
  <c r="M316" i="11"/>
  <c r="M352" i="11"/>
  <c r="M320" i="11"/>
  <c r="M295" i="11"/>
  <c r="M331" i="11"/>
  <c r="M306" i="11"/>
  <c r="M342" i="11"/>
  <c r="M317" i="11"/>
  <c r="M353" i="11"/>
  <c r="M261" i="11"/>
  <c r="M244" i="11"/>
  <c r="M308" i="11"/>
  <c r="M163" i="11"/>
  <c r="M279" i="11"/>
  <c r="M224" i="11"/>
  <c r="M255" i="11"/>
  <c r="M216" i="11"/>
  <c r="M236" i="11"/>
  <c r="M211" i="11"/>
  <c r="M240" i="11"/>
  <c r="M267" i="11"/>
  <c r="M226" i="11"/>
  <c r="M262" i="11"/>
  <c r="M345" i="11"/>
  <c r="M247" i="11"/>
  <c r="M252" i="11"/>
  <c r="M339" i="11"/>
  <c r="M233" i="11"/>
  <c r="M269" i="11"/>
  <c r="M322" i="11"/>
  <c r="M358" i="11"/>
  <c r="M326" i="11"/>
  <c r="M301" i="11"/>
  <c r="M337" i="11"/>
  <c r="M312" i="11"/>
  <c r="M354" i="11"/>
  <c r="M323" i="11"/>
  <c r="M359" i="11"/>
  <c r="M297" i="11"/>
  <c r="M203" i="11"/>
  <c r="M228" i="11"/>
  <c r="M260" i="11"/>
  <c r="M223" i="11"/>
  <c r="M242" i="11"/>
  <c r="M215" i="11"/>
  <c r="M246" i="11"/>
  <c r="M272" i="11"/>
  <c r="M232" i="11"/>
  <c r="M268" i="11"/>
  <c r="M253" i="11"/>
  <c r="M258" i="11"/>
  <c r="M357" i="11"/>
  <c r="M239" i="11"/>
  <c r="M275" i="11"/>
  <c r="M328" i="11"/>
  <c r="M296" i="11"/>
  <c r="M332" i="11"/>
  <c r="M307" i="11"/>
  <c r="M343" i="11"/>
  <c r="M318" i="11"/>
  <c r="M360" i="11"/>
  <c r="M329" i="11"/>
  <c r="L157" i="6"/>
  <c r="L159" i="6"/>
  <c r="L160" i="6"/>
  <c r="L161" i="6"/>
  <c r="L156" i="6"/>
  <c r="L158" i="6"/>
  <c r="U84" i="11"/>
  <c r="U85" i="11" s="1"/>
  <c r="V84" i="11" s="1"/>
  <c r="X136" i="11"/>
  <c r="W72" i="5"/>
  <c r="W77" i="5" s="1"/>
  <c r="W79" i="5" s="1"/>
  <c r="W82" i="5" s="1"/>
  <c r="Y10" i="5"/>
  <c r="Y16" i="5" s="1"/>
  <c r="Y28" i="5" s="1"/>
  <c r="Y72" i="5" s="1"/>
  <c r="AD10" i="5"/>
  <c r="AD16" i="5" s="1"/>
  <c r="AD28" i="5" s="1"/>
  <c r="AD48" i="5" s="1"/>
  <c r="AD79" i="5" s="1"/>
  <c r="AD17" i="8"/>
  <c r="AD29" i="8" s="1"/>
  <c r="AD41" i="8" s="1"/>
  <c r="AD62" i="8" s="1"/>
  <c r="Z62" i="8"/>
  <c r="Y17" i="8"/>
  <c r="Y29" i="8" s="1"/>
  <c r="Y41" i="8" s="1"/>
  <c r="Y62" i="8" s="1"/>
  <c r="Y65" i="8" s="1"/>
  <c r="U78" i="7"/>
  <c r="U79" i="7" s="1"/>
  <c r="U56" i="7"/>
  <c r="U70" i="7" s="1"/>
  <c r="V51" i="7"/>
  <c r="U87" i="8"/>
  <c r="V85" i="8"/>
  <c r="U106" i="8"/>
  <c r="U41" i="8"/>
  <c r="U62" i="8" s="1"/>
  <c r="U65" i="8" s="1"/>
  <c r="U99" i="8"/>
  <c r="V99" i="8" s="1"/>
  <c r="W99" i="8" s="1"/>
  <c r="X99" i="8" s="1"/>
  <c r="Y99" i="8" s="1"/>
  <c r="Z99" i="8" s="1"/>
  <c r="AA99" i="8" s="1"/>
  <c r="AB99" i="8" s="1"/>
  <c r="AC99" i="8" s="1"/>
  <c r="AD99" i="8" s="1"/>
  <c r="M123" i="8"/>
  <c r="N123" i="8" s="1"/>
  <c r="R124" i="8"/>
  <c r="R117" i="8"/>
  <c r="R128" i="8"/>
  <c r="R127" i="8"/>
  <c r="R126" i="8"/>
  <c r="R125" i="8"/>
  <c r="R116" i="8"/>
  <c r="S128" i="8"/>
  <c r="S127" i="8"/>
  <c r="S126" i="8"/>
  <c r="S125" i="8"/>
  <c r="S116" i="8"/>
  <c r="S124" i="8"/>
  <c r="S117" i="8"/>
  <c r="P116" i="8"/>
  <c r="P124" i="8"/>
  <c r="P117" i="8"/>
  <c r="P128" i="8"/>
  <c r="P127" i="8"/>
  <c r="P126" i="8"/>
  <c r="P125" i="8"/>
  <c r="Q116" i="8"/>
  <c r="Q124" i="8"/>
  <c r="Q117" i="8"/>
  <c r="Q128" i="8"/>
  <c r="Q127" i="8"/>
  <c r="Q126" i="8"/>
  <c r="Q125" i="8"/>
  <c r="V47" i="4"/>
  <c r="V64" i="4" s="1"/>
  <c r="V67" i="4" s="1"/>
  <c r="V69" i="4" s="1"/>
  <c r="V72" i="4" s="1"/>
  <c r="W71" i="4" s="1"/>
  <c r="W90" i="4" s="1"/>
  <c r="Y10" i="4"/>
  <c r="Y16" i="4" s="1"/>
  <c r="AD10" i="4"/>
  <c r="AD16" i="4" s="1"/>
  <c r="X48" i="5"/>
  <c r="X72" i="5"/>
  <c r="X77" i="5" s="1"/>
  <c r="Y131" i="11"/>
  <c r="Y114" i="11"/>
  <c r="V13" i="11" l="1"/>
  <c r="M179" i="11"/>
  <c r="M283" i="11"/>
  <c r="M286" i="11"/>
  <c r="M292" i="11"/>
  <c r="M177" i="11"/>
  <c r="M191" i="11"/>
  <c r="M350" i="11"/>
  <c r="M183" i="11"/>
  <c r="M277" i="11"/>
  <c r="M197" i="11"/>
  <c r="M195" i="11"/>
  <c r="M187" i="11"/>
  <c r="D212" i="5"/>
  <c r="D220" i="5" s="1"/>
  <c r="D141" i="4"/>
  <c r="D149" i="4" s="1"/>
  <c r="D153" i="4" s="1"/>
  <c r="E141" i="4"/>
  <c r="Y48" i="5"/>
  <c r="X81" i="5"/>
  <c r="W97" i="5"/>
  <c r="W129" i="5" s="1"/>
  <c r="W130" i="5" s="1"/>
  <c r="O19" i="3"/>
  <c r="W121" i="5"/>
  <c r="X121" i="5" s="1"/>
  <c r="Y121" i="5" s="1"/>
  <c r="Y161" i="11"/>
  <c r="Y160" i="11"/>
  <c r="V107" i="4"/>
  <c r="V108" i="4" s="1"/>
  <c r="X13" i="11"/>
  <c r="X20" i="11" s="1"/>
  <c r="X31" i="11" s="1"/>
  <c r="W13" i="11"/>
  <c r="W20" i="11" s="1"/>
  <c r="Y188" i="11"/>
  <c r="Y270" i="11"/>
  <c r="Y257" i="11"/>
  <c r="Y181" i="11"/>
  <c r="Y241" i="11"/>
  <c r="Y248" i="11"/>
  <c r="Y189" i="11"/>
  <c r="Y174" i="11"/>
  <c r="Y225" i="11"/>
  <c r="Y249" i="11"/>
  <c r="U74" i="8"/>
  <c r="V64" i="8"/>
  <c r="V65" i="8" s="1"/>
  <c r="V87" i="8"/>
  <c r="W85" i="8"/>
  <c r="V106" i="8"/>
  <c r="Z64" i="8"/>
  <c r="Z65" i="8" s="1"/>
  <c r="AD64" i="8"/>
  <c r="AD65" i="8" s="1"/>
  <c r="V56" i="7"/>
  <c r="V70" i="7" s="1"/>
  <c r="W51" i="7"/>
  <c r="V78" i="7"/>
  <c r="V79" i="7" s="1"/>
  <c r="M117" i="8"/>
  <c r="N117" i="8" s="1"/>
  <c r="M125" i="8"/>
  <c r="N125" i="8" s="1"/>
  <c r="M128" i="8"/>
  <c r="N128" i="8" s="1"/>
  <c r="M124" i="8"/>
  <c r="N124" i="8" s="1"/>
  <c r="M116" i="8"/>
  <c r="N116" i="8" s="1"/>
  <c r="M126" i="8"/>
  <c r="N126" i="8" s="1"/>
  <c r="M127" i="8"/>
  <c r="N127" i="8" s="1"/>
  <c r="Y207" i="11"/>
  <c r="Y229" i="11"/>
  <c r="Y275" i="11"/>
  <c r="Y204" i="11"/>
  <c r="Y224" i="11"/>
  <c r="Y272" i="11"/>
  <c r="Y190" i="11"/>
  <c r="Y193" i="11"/>
  <c r="Y251" i="11"/>
  <c r="Y235" i="11"/>
  <c r="Y238" i="11"/>
  <c r="Y265" i="11"/>
  <c r="Y183" i="11"/>
  <c r="Y182" i="11"/>
  <c r="Y234" i="11"/>
  <c r="Y259" i="11"/>
  <c r="Y268" i="11"/>
  <c r="Y196" i="11"/>
  <c r="Y186" i="11"/>
  <c r="Y242" i="11"/>
  <c r="Y252" i="11"/>
  <c r="Y223" i="11"/>
  <c r="Y232" i="11"/>
  <c r="Y217" i="11"/>
  <c r="Y203" i="11"/>
  <c r="Y165" i="11"/>
  <c r="Y271" i="11"/>
  <c r="Y162" i="11"/>
  <c r="Y166" i="11"/>
  <c r="Y250" i="11"/>
  <c r="Y202" i="11"/>
  <c r="Y212" i="11"/>
  <c r="Y184" i="11"/>
  <c r="Y245" i="11"/>
  <c r="Y187" i="11"/>
  <c r="Y263" i="11"/>
  <c r="Y247" i="11"/>
  <c r="Y255" i="11"/>
  <c r="Y171" i="11"/>
  <c r="Y167" i="11"/>
  <c r="Y206" i="11"/>
  <c r="Y243" i="11"/>
  <c r="Y274" i="11"/>
  <c r="Y221" i="11"/>
  <c r="Y199" i="11"/>
  <c r="Y260" i="11"/>
  <c r="Y258" i="11"/>
  <c r="Y246" i="11"/>
  <c r="Y278" i="11"/>
  <c r="Y170" i="11"/>
  <c r="Y175" i="11"/>
  <c r="Y192" i="11"/>
  <c r="Y195" i="11"/>
  <c r="Y191" i="11"/>
  <c r="Y256" i="11"/>
  <c r="Y262" i="11"/>
  <c r="Y205" i="11"/>
  <c r="Y269" i="11"/>
  <c r="Y179" i="11"/>
  <c r="Y264" i="11"/>
  <c r="Y230" i="11"/>
  <c r="Y215" i="11"/>
  <c r="Y220" i="11"/>
  <c r="Y185" i="11"/>
  <c r="Y163" i="11"/>
  <c r="Y177" i="11"/>
  <c r="Y198" i="11"/>
  <c r="Y261" i="11"/>
  <c r="Y273" i="11"/>
  <c r="Y173" i="11"/>
  <c r="Y176" i="11"/>
  <c r="Y211" i="11"/>
  <c r="Y194" i="11"/>
  <c r="Y239" i="11"/>
  <c r="Y240" i="11"/>
  <c r="Y236" i="11"/>
  <c r="Y172" i="11"/>
  <c r="Y168" i="11"/>
  <c r="Y208" i="11"/>
  <c r="Y253" i="11"/>
  <c r="Y201" i="11"/>
  <c r="Y197" i="11"/>
  <c r="Y200" i="11"/>
  <c r="Y276" i="11"/>
  <c r="Y178" i="11"/>
  <c r="Y214" i="11"/>
  <c r="Y227" i="11"/>
  <c r="Y164" i="11"/>
  <c r="Y180" i="11"/>
  <c r="Y244" i="11"/>
  <c r="Y254" i="11"/>
  <c r="Y226" i="11"/>
  <c r="Y267" i="11"/>
  <c r="Y169" i="11"/>
  <c r="Y222" i="11"/>
  <c r="Y216" i="11"/>
  <c r="Y228" i="11"/>
  <c r="Y231" i="11"/>
  <c r="Y237" i="11"/>
  <c r="Y219" i="11"/>
  <c r="Y218" i="11"/>
  <c r="Y277" i="11"/>
  <c r="Y266" i="11"/>
  <c r="Y209" i="11"/>
  <c r="Y233" i="11"/>
  <c r="Y210" i="11"/>
  <c r="Y213" i="11"/>
  <c r="X79" i="5"/>
  <c r="W116" i="4"/>
  <c r="W117" i="4" s="1"/>
  <c r="W22" i="4" s="1"/>
  <c r="W91" i="4"/>
  <c r="Q19" i="3"/>
  <c r="Y77" i="5"/>
  <c r="Y136" i="11"/>
  <c r="M362" i="11" l="1"/>
  <c r="K17" i="3"/>
  <c r="D158" i="4"/>
  <c r="M17" i="3" s="1"/>
  <c r="D229" i="5"/>
  <c r="M19" i="3" s="1"/>
  <c r="D224" i="5"/>
  <c r="K19" i="3" s="1"/>
  <c r="Y79" i="5"/>
  <c r="Y82" i="5" s="1"/>
  <c r="AD81" i="5" s="1"/>
  <c r="AD82" i="5" s="1"/>
  <c r="X82" i="5"/>
  <c r="X97" i="5" s="1"/>
  <c r="X129" i="5" s="1"/>
  <c r="X130" i="5" s="1"/>
  <c r="W106" i="5"/>
  <c r="W122" i="5" s="1"/>
  <c r="Y13" i="11"/>
  <c r="Y20" i="11" s="1"/>
  <c r="Y31" i="11" s="1"/>
  <c r="V20" i="11"/>
  <c r="V31" i="11" s="1"/>
  <c r="V47" i="11" s="1"/>
  <c r="D131" i="8"/>
  <c r="D138" i="8" s="1"/>
  <c r="D142" i="8" s="1"/>
  <c r="V74" i="8"/>
  <c r="W64" i="8"/>
  <c r="W65" i="8" s="1"/>
  <c r="Z74" i="8"/>
  <c r="AA64" i="8"/>
  <c r="AA65" i="8" s="1"/>
  <c r="U107" i="8"/>
  <c r="U108" i="8" s="1"/>
  <c r="U83" i="8"/>
  <c r="U100" i="8" s="1"/>
  <c r="X51" i="7"/>
  <c r="W78" i="7"/>
  <c r="W79" i="7" s="1"/>
  <c r="W56" i="7"/>
  <c r="W70" i="7" s="1"/>
  <c r="W106" i="8"/>
  <c r="W87" i="8"/>
  <c r="X85" i="8"/>
  <c r="W31" i="11"/>
  <c r="X47" i="11"/>
  <c r="X127" i="11"/>
  <c r="X129" i="11" s="1"/>
  <c r="X77" i="11" s="1"/>
  <c r="X80" i="11" s="1"/>
  <c r="W27" i="4"/>
  <c r="Y138" i="11" l="1"/>
  <c r="V138" i="11"/>
  <c r="Y97" i="5"/>
  <c r="Y129" i="5" s="1"/>
  <c r="Y130" i="5" s="1"/>
  <c r="W138" i="11"/>
  <c r="F367" i="11"/>
  <c r="F377" i="11" s="1"/>
  <c r="F386" i="11" s="1"/>
  <c r="M28" i="3" s="1"/>
  <c r="X138" i="11"/>
  <c r="Z81" i="5"/>
  <c r="Z82" i="5" s="1"/>
  <c r="AA81" i="5" s="1"/>
  <c r="AA82" i="5" s="1"/>
  <c r="AB81" i="5" s="1"/>
  <c r="AB82" i="5" s="1"/>
  <c r="AC81" i="5" s="1"/>
  <c r="AC82" i="5" s="1"/>
  <c r="X106" i="5"/>
  <c r="X122" i="5" s="1"/>
  <c r="V127" i="11"/>
  <c r="V129" i="11" s="1"/>
  <c r="W74" i="8"/>
  <c r="X64" i="8"/>
  <c r="X65" i="8" s="1"/>
  <c r="X74" i="8" s="1"/>
  <c r="V107" i="8"/>
  <c r="V108" i="8" s="1"/>
  <c r="V83" i="8"/>
  <c r="V100" i="8" s="1"/>
  <c r="Y51" i="7"/>
  <c r="X78" i="7"/>
  <c r="X79" i="7" s="1"/>
  <c r="X56" i="7"/>
  <c r="X70" i="7" s="1"/>
  <c r="X106" i="8"/>
  <c r="X87" i="8"/>
  <c r="Y85" i="8"/>
  <c r="AA74" i="8"/>
  <c r="AB64" i="8"/>
  <c r="AB65" i="8" s="1"/>
  <c r="Z107" i="8"/>
  <c r="Z83" i="8"/>
  <c r="X82" i="11"/>
  <c r="O28" i="3"/>
  <c r="Y47" i="11"/>
  <c r="Y127" i="11"/>
  <c r="W47" i="11"/>
  <c r="W127" i="11"/>
  <c r="W129" i="11" s="1"/>
  <c r="W47" i="4"/>
  <c r="W64" i="4" s="1"/>
  <c r="W107" i="4" s="1"/>
  <c r="W111" i="4"/>
  <c r="W112" i="4" s="1"/>
  <c r="Y106" i="5" l="1"/>
  <c r="Y122" i="5" s="1"/>
  <c r="H367" i="11"/>
  <c r="F380" i="11"/>
  <c r="H377" i="11"/>
  <c r="V77" i="11"/>
  <c r="V80" i="11" s="1"/>
  <c r="V82" i="11" s="1"/>
  <c r="V85" i="11" s="1"/>
  <c r="AA107" i="8"/>
  <c r="AA83" i="8"/>
  <c r="Z51" i="7"/>
  <c r="Y78" i="7"/>
  <c r="Y79" i="7" s="1"/>
  <c r="Y56" i="7"/>
  <c r="Y70" i="7" s="1"/>
  <c r="Y87" i="8"/>
  <c r="Z85" i="8"/>
  <c r="Y106" i="8"/>
  <c r="Y74" i="8"/>
  <c r="X107" i="8"/>
  <c r="X108" i="8" s="1"/>
  <c r="X83" i="8"/>
  <c r="X100" i="8" s="1"/>
  <c r="AB74" i="8"/>
  <c r="AC64" i="8"/>
  <c r="AC65" i="8" s="1"/>
  <c r="AC74" i="8" s="1"/>
  <c r="W107" i="8"/>
  <c r="W108" i="8" s="1"/>
  <c r="W83" i="8"/>
  <c r="W100" i="8" s="1"/>
  <c r="W77" i="11"/>
  <c r="Y129" i="11"/>
  <c r="W108" i="4"/>
  <c r="W67" i="4"/>
  <c r="W69" i="4" s="1"/>
  <c r="W72" i="4" s="1"/>
  <c r="X71" i="4" s="1"/>
  <c r="X90" i="4" s="1"/>
  <c r="V106" i="11" l="1"/>
  <c r="V132" i="11" s="1"/>
  <c r="V133" i="11" s="1"/>
  <c r="V123" i="11"/>
  <c r="W123" i="11" s="1"/>
  <c r="X123" i="11" s="1"/>
  <c r="Y123" i="11" s="1"/>
  <c r="W84" i="11"/>
  <c r="Y107" i="8"/>
  <c r="Y108" i="8" s="1"/>
  <c r="Y83" i="8"/>
  <c r="Y100" i="8" s="1"/>
  <c r="AA51" i="7"/>
  <c r="Z78" i="7"/>
  <c r="Z79" i="7" s="1"/>
  <c r="Z56" i="7"/>
  <c r="Z70" i="7" s="1"/>
  <c r="AD74" i="8"/>
  <c r="AC107" i="8"/>
  <c r="AC83" i="8"/>
  <c r="AB107" i="8"/>
  <c r="AB83" i="8"/>
  <c r="Z87" i="8"/>
  <c r="Z100" i="8" s="1"/>
  <c r="AA85" i="8"/>
  <c r="Z106" i="8"/>
  <c r="Z108" i="8" s="1"/>
  <c r="Y77" i="11"/>
  <c r="W80" i="11"/>
  <c r="W82" i="11" s="1"/>
  <c r="X116" i="4"/>
  <c r="X117" i="4" s="1"/>
  <c r="X22" i="4" s="1"/>
  <c r="X91" i="4"/>
  <c r="V109" i="11" l="1"/>
  <c r="V124" i="11" s="1"/>
  <c r="W85" i="11"/>
  <c r="X84" i="11" s="1"/>
  <c r="X85" i="11" s="1"/>
  <c r="X106" i="11" s="1"/>
  <c r="AD107" i="8"/>
  <c r="AD83" i="8"/>
  <c r="AA78" i="7"/>
  <c r="AA79" i="7" s="1"/>
  <c r="AA56" i="7"/>
  <c r="AA70" i="7" s="1"/>
  <c r="AB51" i="7"/>
  <c r="AA87" i="8"/>
  <c r="AA100" i="8" s="1"/>
  <c r="AB85" i="8"/>
  <c r="AA106" i="8"/>
  <c r="AA108" i="8" s="1"/>
  <c r="Q28" i="3"/>
  <c r="Y80" i="11"/>
  <c r="Y82" i="11" s="1"/>
  <c r="Y85" i="11" s="1"/>
  <c r="X27" i="4"/>
  <c r="Y22" i="4"/>
  <c r="Y27" i="4" s="1"/>
  <c r="W106" i="11" l="1"/>
  <c r="W132" i="11" s="1"/>
  <c r="W133" i="11" s="1"/>
  <c r="AB56" i="7"/>
  <c r="AB70" i="7" s="1"/>
  <c r="AC51" i="7"/>
  <c r="AB78" i="7"/>
  <c r="AB79" i="7" s="1"/>
  <c r="AB87" i="8"/>
  <c r="AB100" i="8" s="1"/>
  <c r="AC85" i="8"/>
  <c r="AB106" i="8"/>
  <c r="AB108" i="8" s="1"/>
  <c r="AD84" i="11"/>
  <c r="AD85" i="11" s="1"/>
  <c r="Z84" i="11"/>
  <c r="Z85" i="11" s="1"/>
  <c r="X132" i="11"/>
  <c r="X133" i="11" s="1"/>
  <c r="Y106" i="11"/>
  <c r="X109" i="11"/>
  <c r="X124" i="11" s="1"/>
  <c r="O17" i="3"/>
  <c r="Y111" i="4"/>
  <c r="Y112" i="4" s="1"/>
  <c r="Y47" i="4"/>
  <c r="X111" i="4"/>
  <c r="X112" i="4" s="1"/>
  <c r="X47" i="4"/>
  <c r="X64" i="4" s="1"/>
  <c r="X107" i="4" s="1"/>
  <c r="W109" i="11" l="1"/>
  <c r="W124" i="11" s="1"/>
  <c r="AC106" i="8"/>
  <c r="AC108" i="8" s="1"/>
  <c r="AC87" i="8"/>
  <c r="AC100" i="8" s="1"/>
  <c r="AD85" i="8"/>
  <c r="AD51" i="7"/>
  <c r="AC78" i="7"/>
  <c r="AC79" i="7" s="1"/>
  <c r="AC56" i="7"/>
  <c r="AC70" i="7" s="1"/>
  <c r="Y132" i="11"/>
  <c r="Y133" i="11" s="1"/>
  <c r="Y109" i="11"/>
  <c r="Y124" i="11" s="1"/>
  <c r="Z106" i="11"/>
  <c r="AA84" i="11"/>
  <c r="AA85" i="11" s="1"/>
  <c r="Y107" i="4"/>
  <c r="X108" i="4"/>
  <c r="X67" i="4"/>
  <c r="X69" i="4" s="1"/>
  <c r="X72" i="4" s="1"/>
  <c r="Y64" i="4"/>
  <c r="E148" i="4" s="1"/>
  <c r="E149" i="4" s="1"/>
  <c r="AD78" i="7" l="1"/>
  <c r="AD79" i="7" s="1"/>
  <c r="AD56" i="7"/>
  <c r="AD70" i="7" s="1"/>
  <c r="AD106" i="8"/>
  <c r="AD108" i="8" s="1"/>
  <c r="AD87" i="8"/>
  <c r="AD100" i="8" s="1"/>
  <c r="AA106" i="11"/>
  <c r="AB84" i="11"/>
  <c r="AB85" i="11" s="1"/>
  <c r="Z132" i="11"/>
  <c r="Z133" i="11" s="1"/>
  <c r="Z109" i="11"/>
  <c r="Z124" i="11" s="1"/>
  <c r="E153" i="4"/>
  <c r="Y67" i="4"/>
  <c r="Y69" i="4" s="1"/>
  <c r="Y72" i="4" s="1"/>
  <c r="Q17" i="3"/>
  <c r="Y108" i="4"/>
  <c r="AC84" i="11" l="1"/>
  <c r="AC85" i="11" s="1"/>
  <c r="AC106" i="11" s="1"/>
  <c r="AB106" i="11"/>
  <c r="AA132" i="11"/>
  <c r="AA133" i="11" s="1"/>
  <c r="AA109" i="11"/>
  <c r="AA124" i="11" s="1"/>
  <c r="Z71" i="4"/>
  <c r="Z90" i="4" s="1"/>
  <c r="AD71" i="4"/>
  <c r="AD90" i="4" s="1"/>
  <c r="E158" i="4"/>
  <c r="N17" i="3" s="1"/>
  <c r="L17" i="3"/>
  <c r="E154" i="4"/>
  <c r="AB132" i="11" l="1"/>
  <c r="AB133" i="11" s="1"/>
  <c r="AB109" i="11"/>
  <c r="AB124" i="11" s="1"/>
  <c r="AC132" i="11"/>
  <c r="AC133" i="11" s="1"/>
  <c r="AC109" i="11"/>
  <c r="AC124" i="11" s="1"/>
  <c r="AD116" i="4"/>
  <c r="AD117" i="4" s="1"/>
  <c r="AD91" i="4"/>
  <c r="Z91" i="4"/>
  <c r="Z116" i="4"/>
  <c r="Z117" i="4" s="1"/>
  <c r="Z22" i="4" s="1"/>
  <c r="Z27" i="4" l="1"/>
  <c r="Z111" i="4" l="1"/>
  <c r="Z112" i="4" s="1"/>
  <c r="Z47" i="4"/>
  <c r="Z64" i="4" s="1"/>
  <c r="Z67" i="4" l="1"/>
  <c r="Z69" i="4" s="1"/>
  <c r="Z72" i="4" s="1"/>
  <c r="AA71" i="4" s="1"/>
  <c r="AA90" i="4" s="1"/>
  <c r="Z107" i="4"/>
  <c r="AA91" i="4" l="1"/>
  <c r="AA116" i="4"/>
  <c r="AA117" i="4" s="1"/>
  <c r="AA22" i="4" s="1"/>
  <c r="Z108" i="4"/>
  <c r="AA27" i="4" l="1"/>
  <c r="AA111" i="4" l="1"/>
  <c r="AA112" i="4" s="1"/>
  <c r="AA47" i="4"/>
  <c r="AA64" i="4" s="1"/>
  <c r="AA67" i="4" l="1"/>
  <c r="AA69" i="4" s="1"/>
  <c r="AA72" i="4" s="1"/>
  <c r="AB71" i="4" s="1"/>
  <c r="AB90" i="4" s="1"/>
  <c r="AA107" i="4"/>
  <c r="AA108" i="4" l="1"/>
  <c r="AB116" i="4"/>
  <c r="AB117" i="4" s="1"/>
  <c r="AB22" i="4" s="1"/>
  <c r="AB91" i="4"/>
  <c r="AB27" i="4" l="1"/>
  <c r="AB111" i="4" l="1"/>
  <c r="AB112" i="4" s="1"/>
  <c r="AB47" i="4"/>
  <c r="AB64" i="4" s="1"/>
  <c r="AB67" i="4" l="1"/>
  <c r="AB69" i="4" s="1"/>
  <c r="AB72" i="4" s="1"/>
  <c r="AC71" i="4" s="1"/>
  <c r="AC90" i="4" s="1"/>
  <c r="AB107" i="4"/>
  <c r="AB108" i="4" l="1"/>
  <c r="AC116" i="4"/>
  <c r="AC117" i="4" s="1"/>
  <c r="AC22" i="4" s="1"/>
  <c r="AC91" i="4"/>
  <c r="AC27" i="4" l="1"/>
  <c r="AD22" i="4"/>
  <c r="AD27" i="4" s="1"/>
  <c r="AD111" i="4" l="1"/>
  <c r="AD112" i="4" s="1"/>
  <c r="AD47" i="4"/>
  <c r="P17" i="3"/>
  <c r="AC111" i="4"/>
  <c r="AC112" i="4" s="1"/>
  <c r="AC47" i="4"/>
  <c r="AC64" i="4" s="1"/>
  <c r="AC107" i="4" s="1"/>
  <c r="AD107" i="4" l="1"/>
  <c r="AD108" i="4" s="1"/>
  <c r="AC108" i="4"/>
  <c r="AC67" i="4"/>
  <c r="AC69" i="4" s="1"/>
  <c r="AC72" i="4" s="1"/>
  <c r="AD64" i="4"/>
  <c r="AD67" i="4" l="1"/>
  <c r="AD69" i="4" s="1"/>
  <c r="AD72" i="4" s="1"/>
  <c r="R1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tc={1578BD9B-21A0-482E-B7FA-B5A082A948F5}</author>
    <author>Marc Borrell</author>
    <author>tc={06290DE8-87FB-4152-8305-472DF239A8FF}</author>
    <author>tc={659D6579-F603-4B79-A605-12ADF273EBC4}</author>
    <author>tc={8AE8A392-F965-4A01-915F-850F09766E05}</author>
    <author>tc={A308F117-244A-493A-BE26-E4B05621D8AF}</author>
  </authors>
  <commentList>
    <comment ref="C12" authorId="0" shapeId="0" xr:uid="{1578BD9B-21A0-482E-B7FA-B5A082A948F5}">
      <text>
        <t>[Threaded comment]
Your version of Excel allows you to read this threaded comment; however, any edits to it will get removed if the file is opened in a newer version of Excel. Learn more: https://go.microsoft.com/fwlink/?linkid=870924
Comment:
    The company makes roughly 3% of external DOP revenues as income, which is included on the "other operating income"</t>
      </text>
    </comment>
    <comment ref="C138" authorId="1" shapeId="0" xr:uid="{17D294D5-71EB-4908-A4FA-99E9551C9CE1}">
      <text>
        <r>
          <rPr>
            <b/>
            <sz val="9"/>
            <color indexed="81"/>
            <rFont val="Tahoma"/>
            <charset val="1"/>
          </rPr>
          <t>Marc Borrell:</t>
        </r>
        <r>
          <rPr>
            <sz val="9"/>
            <color indexed="81"/>
            <rFont val="Tahoma"/>
            <charset val="1"/>
          </rPr>
          <t xml:space="preserve">
 Net loan-to-value is calculated as vessel bank and finance lease debt (excluding debt for vessels sold but pending legal completion), debt from the pool borrowing base facilities less cash at bank and on hand, divided by broker vessel values (100% owned vessels).</t>
        </r>
      </text>
    </comment>
    <comment ref="J160" authorId="2" shapeId="0" xr:uid="{06290DE8-87FB-4152-8305-472DF239A8FF}">
      <text>
        <t>[Threaded comment]
Your version of Excel allows you to read this threaded comment; however, any edits to it will get removed if the file is opened in a newer version of Excel. Learn more: https://go.microsoft.com/fwlink/?linkid=870924
Comment:
    Eco if it was   Built&gt;2014</t>
      </text>
    </comment>
    <comment ref="AD348" authorId="3" shapeId="0" xr:uid="{659D6579-F603-4B79-A605-12ADF273EBC4}">
      <text>
        <t>[Threaded comment]
Your version of Excel allows you to read this threaded comment; however, any edits to it will get removed if the file is opened in a newer version of Excel. Learn more: https://go.microsoft.com/fwlink/?linkid=870924
Comment:
    Cuidado! Los TC in tiene 0% de ownership pero facturan como si fueran owned</t>
      </text>
    </comment>
    <comment ref="M362" authorId="4" shapeId="0" xr:uid="{8AE8A392-F965-4A01-915F-850F09766E05}">
      <text>
        <t>[Threaded comment]
Your version of Excel allows you to read this threaded comment; however, any edits to it will get removed if the file is opened in a newer version of Excel. Learn more: https://go.microsoft.com/fwlink/?linkid=870924
Comment:
    The average estimated broker value of the owned fleet was USD 4,682 million.</t>
      </text>
    </comment>
    <comment ref="F376" authorId="5" shapeId="0" xr:uid="{A308F117-244A-493A-BE26-E4B05621D8AF}">
      <text>
        <t>[Threaded comment]
Your version of Excel allows you to read this threaded comment; however, any edits to it will get removed if the file is opened in a newer version of Excel. Learn more: https://go.microsoft.com/fwlink/?linkid=870924
Comment:
    We include dividends (positively) if we compute the NAV forwards since they will be distributed along the time between now and the future time and the cash already reflects that so we basicallt "add them back"</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tc={8D865DF7-E7EA-4046-BC60-569086A0BCB0}</author>
    <author>tc={EBE9301C-1188-49C1-80E1-53D8F1A6A679}</author>
    <author>tc={AE6C3D13-3C75-41B4-A4CD-AB457ABA9676}</author>
    <author>tc={CFEF451A-4CCD-4DFA-98ED-DAE66CE1EBB4}</author>
    <author>tc={48381576-AC05-4BF2-A393-A2E374985B8B}</author>
    <author>tc={0737741B-BA60-48B8-A2B2-ABB677DAAAD0}</author>
    <author>tc={53289928-82C2-4598-973A-B7EDABBA490D}</author>
    <author>tc={D8B92CEA-762B-419A-BC28-013D718DA4A7}</author>
    <author>tc={AD6AE504-7169-4423-A5B9-F264AA5DB396}</author>
    <author>tc={737F594A-877D-4B42-AD35-1F42C11C8A6A}</author>
    <author>tc={133A33D7-9D10-48EB-885B-328DE832D593}</author>
    <author>tc={134E666E-BBDD-49E6-80FF-57D5D91D9F78}</author>
    <author>tc={8E0D945E-13A3-4591-B986-4CE9B556D4F6}</author>
    <author>tc={7D547151-18A1-4D02-A2CC-D79FA21C3780}</author>
    <author>tc={D2D81F7A-2841-45DD-9620-EB9E11ABE3E2}</author>
    <author>tc={D9EE0B63-8F18-4E2B-B7D9-ED54397FFED7}</author>
    <author>tc={83AD9DEA-A51B-435E-8C95-661857E6D1FE}</author>
    <author>tc={51C28766-8BD1-4B79-AC70-E52257A58F2D}</author>
    <author>tc={964739E8-9F67-4E58-ABC6-94F5515CCB55}</author>
    <author>tc={A8C194EA-B4D0-4314-8926-4D0077BF763E}</author>
    <author>tc={76FB50DB-EE98-4591-904E-5DF81A02AF46}</author>
    <author>tc={E790DB8F-6A53-489A-B7C5-6B05DE5D949B}</author>
    <author>tc={999FEA48-D29A-46A5-B8A9-AB53408FA7D2}</author>
    <author>tc={7946695D-C45A-456D-A119-F22BE396DC74}</author>
    <author>tc={9EE0C381-9179-425E-A08A-CB5ED45B4774}</author>
    <author>tc={F2FC01D6-6805-4993-B366-EEB316278603}</author>
    <author>tc={4D6ADC69-D8FA-4E02-8760-DB3704562E91}</author>
    <author>tc={1687A05A-5D35-41B5-830A-D2BE88D1D4CC}</author>
    <author>tc={348A949D-1CD0-4657-98B6-CB255B930E79}</author>
    <author>tc={DC9509FD-193E-4BCB-8C47-8CB19AE988EA}</author>
    <author>tc={171612C2-35AE-4ECC-8F1C-6541FFE9F411}</author>
    <author>tc={E1236E72-425A-4526-A0AD-068AD203DEF7}</author>
    <author>tc={B16774D9-80A3-4E16-B116-58E1183C7597}</author>
    <author>tc={3689A062-4B7B-4B29-AC90-90E288310CD4}</author>
    <author>tc={1391E1CF-274D-4FCD-A8BB-C3663F6EC52A}</author>
    <author>tc={7C02992A-C33E-4B1B-912E-3FD9369359EB}</author>
    <author>tc={ABA1F1C6-2A30-4B2F-8194-A827777882D5}</author>
    <author>tc={DA8A4FFC-5F87-4D9D-99E5-3767F499E27A}</author>
    <author>tc={6D1250DE-452D-4782-BF48-B30BEE25874F}</author>
    <author>tc={11B32DED-24D6-42B6-AD74-ED36B72880F6}</author>
    <author>tc={1129DD31-34CA-4350-A9C4-8E668A660D4B}</author>
    <author>tc={C3809E9F-09DF-43E2-B610-CA137DDCC9D8}</author>
    <author>tc={701D3A6B-2FB3-4099-9CCF-2B0DAC7A1BB6}</author>
    <author>tc={7A5EAF2D-54BB-47FE-87C1-22349B911EF0}</author>
    <author>tc={40E960D8-0B50-4231-AE2D-431B8E03E2A9}</author>
    <author>tc={7A36E2A3-9D2E-4C96-8375-64D85352A289}</author>
    <author>tc={A7D56BCD-FDB3-46F1-8D35-BB1958FAE16D}</author>
    <author>tc={49A707ED-16C8-4D3B-9AB8-CA37AF29A1D8}</author>
    <author>tc={ED679634-0DD6-4923-926A-3662E59C6727}</author>
    <author>tc={81F1BF00-ED39-4472-A581-2426CD98CB0D}</author>
    <author>tc={6F3F7150-4928-4ACB-8416-B51C751D1562}</author>
    <author>tc={A6B3C8FA-4728-404F-8942-8FBB1A460C99}</author>
    <author>tc={73FB3CC5-1EE2-4405-BECC-D7F533D1CD77}</author>
    <author>tc={3EBBE5AA-4721-46B6-BB3A-846E17FC603F}</author>
    <author>tc={47870796-42ED-40F0-AD6B-449F4C74F388}</author>
    <author>tc={506A85F7-FB3B-490F-873C-2729D095BE34}</author>
    <author>tc={35733C8B-52A5-4A69-BC8B-A39FB0AEB8BD}</author>
    <author>tc={45E272FA-A014-475A-BE3A-9477806B13C2}</author>
    <author>tc={66CBFB0D-3B20-47F5-BF65-4A3D94BD2AF4}</author>
    <author>tc={A26B90AB-2F1B-4E2E-AA61-23FD6282B739}</author>
  </authors>
  <commentList>
    <comment ref="U243" authorId="0" shapeId="0" xr:uid="{8D865DF7-E7EA-4046-BC60-569086A0BCB0}">
      <text>
        <t>[Threaded comment]
Your version of Excel allows you to read this threaded comment; however, any edits to it will get removed if the file is opened in a newer version of Excel. Learn more: https://go.microsoft.com/fwlink/?linkid=870924
Comment:
    As of Q4 2023</t>
      </text>
    </comment>
    <comment ref="V243" authorId="1" shapeId="0" xr:uid="{EBE9301C-1188-49C1-80E1-53D8F1A6A679}">
      <text>
        <t>[Threaded comment]
Your version of Excel allows you to read this threaded comment; however, any edits to it will get removed if the file is opened in a newer version of Excel. Learn more: https://go.microsoft.com/fwlink/?linkid=870924
Comment:
    As of Q4 2023</t>
      </text>
    </comment>
    <comment ref="W243" authorId="2" shapeId="0" xr:uid="{AE6C3D13-3C75-41B4-A4CD-AB457ABA9676}">
      <text>
        <t>[Threaded comment]
Your version of Excel allows you to read this threaded comment; however, any edits to it will get removed if the file is opened in a newer version of Excel. Learn more: https://go.microsoft.com/fwlink/?linkid=870924
Comment:
    As of Q4 2023</t>
      </text>
    </comment>
    <comment ref="X243" authorId="3" shapeId="0" xr:uid="{CFEF451A-4CCD-4DFA-98ED-DAE66CE1EBB4}">
      <text>
        <t>[Threaded comment]
Your version of Excel allows you to read this threaded comment; however, any edits to it will get removed if the file is opened in a newer version of Excel. Learn more: https://go.microsoft.com/fwlink/?linkid=870924
Comment:
    As of Q4 2023</t>
      </text>
    </comment>
    <comment ref="Z243" authorId="4" shapeId="0" xr:uid="{48381576-AC05-4BF2-A393-A2E374985B8B}">
      <text>
        <t>[Threaded comment]
Your version of Excel allows you to read this threaded comment; however, any edits to it will get removed if the file is opened in a newer version of Excel. Learn more: https://go.microsoft.com/fwlink/?linkid=870924
Comment:
    As of Q4 2023</t>
      </text>
    </comment>
    <comment ref="AA243" authorId="5" shapeId="0" xr:uid="{0737741B-BA60-48B8-A2B2-ABB677DAAAD0}">
      <text>
        <t>[Threaded comment]
Your version of Excel allows you to read this threaded comment; however, any edits to it will get removed if the file is opened in a newer version of Excel. Learn more: https://go.microsoft.com/fwlink/?linkid=870924
Comment:
    As of Q4 2023</t>
      </text>
    </comment>
    <comment ref="AB243" authorId="6" shapeId="0" xr:uid="{53289928-82C2-4598-973A-B7EDABBA490D}">
      <text>
        <t>[Threaded comment]
Your version of Excel allows you to read this threaded comment; however, any edits to it will get removed if the file is opened in a newer version of Excel. Learn more: https://go.microsoft.com/fwlink/?linkid=870924
Comment:
    As of Q4 2023</t>
      </text>
    </comment>
    <comment ref="AC243" authorId="7" shapeId="0" xr:uid="{D8B92CEA-762B-419A-BC28-013D718DA4A7}">
      <text>
        <t>[Threaded comment]
Your version of Excel allows you to read this threaded comment; however, any edits to it will get removed if the file is opened in a newer version of Excel. Learn more: https://go.microsoft.com/fwlink/?linkid=870924
Comment:
    As of Q4 2023</t>
      </text>
    </comment>
    <comment ref="U244" authorId="8" shapeId="0" xr:uid="{AD6AE504-7169-4423-A5B9-F264AA5DB396}">
      <text>
        <t>[Threaded comment]
Your version of Excel allows you to read this threaded comment; however, any edits to it will get removed if the file is opened in a newer version of Excel. Learn more: https://go.microsoft.com/fwlink/?linkid=870924
Comment:
    As of Q4 2023</t>
      </text>
    </comment>
    <comment ref="V244" authorId="9" shapeId="0" xr:uid="{737F594A-877D-4B42-AD35-1F42C11C8A6A}">
      <text>
        <t>[Threaded comment]
Your version of Excel allows you to read this threaded comment; however, any edits to it will get removed if the file is opened in a newer version of Excel. Learn more: https://go.microsoft.com/fwlink/?linkid=870924
Comment:
    As of Q4 2023</t>
      </text>
    </comment>
    <comment ref="W244" authorId="10" shapeId="0" xr:uid="{133A33D7-9D10-48EB-885B-328DE832D593}">
      <text>
        <t>[Threaded comment]
Your version of Excel allows you to read this threaded comment; however, any edits to it will get removed if the file is opened in a newer version of Excel. Learn more: https://go.microsoft.com/fwlink/?linkid=870924
Comment:
    As of Q4 2023</t>
      </text>
    </comment>
    <comment ref="X244" authorId="11" shapeId="0" xr:uid="{134E666E-BBDD-49E6-80FF-57D5D91D9F78}">
      <text>
        <t>[Threaded comment]
Your version of Excel allows you to read this threaded comment; however, any edits to it will get removed if the file is opened in a newer version of Excel. Learn more: https://go.microsoft.com/fwlink/?linkid=870924
Comment:
    As of Q4 2023</t>
      </text>
    </comment>
    <comment ref="Z244" authorId="12" shapeId="0" xr:uid="{8E0D945E-13A3-4591-B986-4CE9B556D4F6}">
      <text>
        <t>[Threaded comment]
Your version of Excel allows you to read this threaded comment; however, any edits to it will get removed if the file is opened in a newer version of Excel. Learn more: https://go.microsoft.com/fwlink/?linkid=870924
Comment:
    As of Q4 2023</t>
      </text>
    </comment>
    <comment ref="AA244" authorId="13" shapeId="0" xr:uid="{7D547151-18A1-4D02-A2CC-D79FA21C3780}">
      <text>
        <t>[Threaded comment]
Your version of Excel allows you to read this threaded comment; however, any edits to it will get removed if the file is opened in a newer version of Excel. Learn more: https://go.microsoft.com/fwlink/?linkid=870924
Comment:
    As of Q4 2023</t>
      </text>
    </comment>
    <comment ref="AB244" authorId="14" shapeId="0" xr:uid="{D2D81F7A-2841-45DD-9620-EB9E11ABE3E2}">
      <text>
        <t>[Threaded comment]
Your version of Excel allows you to read this threaded comment; however, any edits to it will get removed if the file is opened in a newer version of Excel. Learn more: https://go.microsoft.com/fwlink/?linkid=870924
Comment:
    As of Q4 2023</t>
      </text>
    </comment>
    <comment ref="AC244" authorId="15" shapeId="0" xr:uid="{D9EE0B63-8F18-4E2B-B7D9-ED54397FFED7}">
      <text>
        <t>[Threaded comment]
Your version of Excel allows you to read this threaded comment; however, any edits to it will get removed if the file is opened in a newer version of Excel. Learn more: https://go.microsoft.com/fwlink/?linkid=870924
Comment:
    As of Q4 2023</t>
      </text>
    </comment>
    <comment ref="U245" authorId="16" shapeId="0" xr:uid="{83AD9DEA-A51B-435E-8C95-661857E6D1FE}">
      <text>
        <t>[Threaded comment]
Your version of Excel allows you to read this threaded comment; however, any edits to it will get removed if the file is opened in a newer version of Excel. Learn more: https://go.microsoft.com/fwlink/?linkid=870924
Comment:
    As of Q4 2023</t>
      </text>
    </comment>
    <comment ref="V245" authorId="17" shapeId="0" xr:uid="{51C28766-8BD1-4B79-AC70-E52257A58F2D}">
      <text>
        <t>[Threaded comment]
Your version of Excel allows you to read this threaded comment; however, any edits to it will get removed if the file is opened in a newer version of Excel. Learn more: https://go.microsoft.com/fwlink/?linkid=870924
Comment:
    As of Q4 2023</t>
      </text>
    </comment>
    <comment ref="W245" authorId="18" shapeId="0" xr:uid="{964739E8-9F67-4E58-ABC6-94F5515CCB55}">
      <text>
        <t>[Threaded comment]
Your version of Excel allows you to read this threaded comment; however, any edits to it will get removed if the file is opened in a newer version of Excel. Learn more: https://go.microsoft.com/fwlink/?linkid=870924
Comment:
    As of Q4 2023</t>
      </text>
    </comment>
    <comment ref="X245" authorId="19" shapeId="0" xr:uid="{A8C194EA-B4D0-4314-8926-4D0077BF763E}">
      <text>
        <t>[Threaded comment]
Your version of Excel allows you to read this threaded comment; however, any edits to it will get removed if the file is opened in a newer version of Excel. Learn more: https://go.microsoft.com/fwlink/?linkid=870924
Comment:
    As of Q4 2023</t>
      </text>
    </comment>
    <comment ref="Z245" authorId="20" shapeId="0" xr:uid="{76FB50DB-EE98-4591-904E-5DF81A02AF46}">
      <text>
        <t>[Threaded comment]
Your version of Excel allows you to read this threaded comment; however, any edits to it will get removed if the file is opened in a newer version of Excel. Learn more: https://go.microsoft.com/fwlink/?linkid=870924
Comment:
    As of Q4 2023</t>
      </text>
    </comment>
    <comment ref="AA245" authorId="21" shapeId="0" xr:uid="{E790DB8F-6A53-489A-B7C5-6B05DE5D949B}">
      <text>
        <t>[Threaded comment]
Your version of Excel allows you to read this threaded comment; however, any edits to it will get removed if the file is opened in a newer version of Excel. Learn more: https://go.microsoft.com/fwlink/?linkid=870924
Comment:
    As of Q4 2023</t>
      </text>
    </comment>
    <comment ref="AB245" authorId="22" shapeId="0" xr:uid="{999FEA48-D29A-46A5-B8A9-AB53408FA7D2}">
      <text>
        <t>[Threaded comment]
Your version of Excel allows you to read this threaded comment; however, any edits to it will get removed if the file is opened in a newer version of Excel. Learn more: https://go.microsoft.com/fwlink/?linkid=870924
Comment:
    As of Q4 2023</t>
      </text>
    </comment>
    <comment ref="AC245" authorId="23" shapeId="0" xr:uid="{7946695D-C45A-456D-A119-F22BE396DC74}">
      <text>
        <t>[Threaded comment]
Your version of Excel allows you to read this threaded comment; however, any edits to it will get removed if the file is opened in a newer version of Excel. Learn more: https://go.microsoft.com/fwlink/?linkid=870924
Comment:
    As of Q4 2023</t>
      </text>
    </comment>
    <comment ref="U252" authorId="24" shapeId="0" xr:uid="{9EE0C381-9179-425E-A08A-CB5ED45B4774}">
      <text>
        <t>[Threaded comment]
Your version of Excel allows you to read this threaded comment; however, any edits to it will get removed if the file is opened in a newer version of Excel. Learn more: https://go.microsoft.com/fwlink/?linkid=870924
Comment:
    As of Q4 2023</t>
      </text>
    </comment>
    <comment ref="V252" authorId="25" shapeId="0" xr:uid="{F2FC01D6-6805-4993-B366-EEB316278603}">
      <text>
        <t>[Threaded comment]
Your version of Excel allows you to read this threaded comment; however, any edits to it will get removed if the file is opened in a newer version of Excel. Learn more: https://go.microsoft.com/fwlink/?linkid=870924
Comment:
    As of Q4 2023</t>
      </text>
    </comment>
    <comment ref="W252" authorId="26" shapeId="0" xr:uid="{4D6ADC69-D8FA-4E02-8760-DB3704562E91}">
      <text>
        <t>[Threaded comment]
Your version of Excel allows you to read this threaded comment; however, any edits to it will get removed if the file is opened in a newer version of Excel. Learn more: https://go.microsoft.com/fwlink/?linkid=870924
Comment:
    As of Q4 2023</t>
      </text>
    </comment>
    <comment ref="X252" authorId="27" shapeId="0" xr:uid="{1687A05A-5D35-41B5-830A-D2BE88D1D4CC}">
      <text>
        <t>[Threaded comment]
Your version of Excel allows you to read this threaded comment; however, any edits to it will get removed if the file is opened in a newer version of Excel. Learn more: https://go.microsoft.com/fwlink/?linkid=870924
Comment:
    As of Q4 2023</t>
      </text>
    </comment>
    <comment ref="U253" authorId="28" shapeId="0" xr:uid="{348A949D-1CD0-4657-98B6-CB255B930E79}">
      <text>
        <t>[Threaded comment]
Your version of Excel allows you to read this threaded comment; however, any edits to it will get removed if the file is opened in a newer version of Excel. Learn more: https://go.microsoft.com/fwlink/?linkid=870924
Comment:
    As of Q4 2023</t>
      </text>
    </comment>
    <comment ref="V253" authorId="29" shapeId="0" xr:uid="{DC9509FD-193E-4BCB-8C47-8CB19AE988EA}">
      <text>
        <t>[Threaded comment]
Your version of Excel allows you to read this threaded comment; however, any edits to it will get removed if the file is opened in a newer version of Excel. Learn more: https://go.microsoft.com/fwlink/?linkid=870924
Comment:
    As of Q4 2023</t>
      </text>
    </comment>
    <comment ref="W253" authorId="30" shapeId="0" xr:uid="{171612C2-35AE-4ECC-8F1C-6541FFE9F411}">
      <text>
        <t>[Threaded comment]
Your version of Excel allows you to read this threaded comment; however, any edits to it will get removed if the file is opened in a newer version of Excel. Learn more: https://go.microsoft.com/fwlink/?linkid=870924
Comment:
    As of Q4 2023</t>
      </text>
    </comment>
    <comment ref="U265" authorId="31" shapeId="0" xr:uid="{E1236E72-425A-4526-A0AD-068AD203DEF7}">
      <text>
        <t>[Threaded comment]
Your version of Excel allows you to read this threaded comment; however, any edits to it will get removed if the file is opened in a newer version of Excel. Learn more: https://go.microsoft.com/fwlink/?linkid=870924
Comment:
    As of Q4 2023</t>
      </text>
    </comment>
    <comment ref="V265" authorId="32" shapeId="0" xr:uid="{B16774D9-80A3-4E16-B116-58E1183C7597}">
      <text>
        <t>[Threaded comment]
Your version of Excel allows you to read this threaded comment; however, any edits to it will get removed if the file is opened in a newer version of Excel. Learn more: https://go.microsoft.com/fwlink/?linkid=870924
Comment:
    As of Q4 2023</t>
      </text>
    </comment>
    <comment ref="W265" authorId="33" shapeId="0" xr:uid="{3689A062-4B7B-4B29-AC90-90E288310CD4}">
      <text>
        <t>[Threaded comment]
Your version of Excel allows you to read this threaded comment; however, any edits to it will get removed if the file is opened in a newer version of Excel. Learn more: https://go.microsoft.com/fwlink/?linkid=870924
Comment:
    As of Q4 2023</t>
      </text>
    </comment>
    <comment ref="X265" authorId="34" shapeId="0" xr:uid="{1391E1CF-274D-4FCD-A8BB-C3663F6EC52A}">
      <text>
        <t>[Threaded comment]
Your version of Excel allows you to read this threaded comment; however, any edits to it will get removed if the file is opened in a newer version of Excel. Learn more: https://go.microsoft.com/fwlink/?linkid=870924
Comment:
    As of Q4 2023</t>
      </text>
    </comment>
    <comment ref="Z265" authorId="35" shapeId="0" xr:uid="{7C02992A-C33E-4B1B-912E-3FD9369359EB}">
      <text>
        <t>[Threaded comment]
Your version of Excel allows you to read this threaded comment; however, any edits to it will get removed if the file is opened in a newer version of Excel. Learn more: https://go.microsoft.com/fwlink/?linkid=870924
Comment:
    As of Q4 2023</t>
      </text>
    </comment>
    <comment ref="AA265" authorId="36" shapeId="0" xr:uid="{ABA1F1C6-2A30-4B2F-8194-A827777882D5}">
      <text>
        <t>[Threaded comment]
Your version of Excel allows you to read this threaded comment; however, any edits to it will get removed if the file is opened in a newer version of Excel. Learn more: https://go.microsoft.com/fwlink/?linkid=870924
Comment:
    As of Q4 2023</t>
      </text>
    </comment>
    <comment ref="U277" authorId="37" shapeId="0" xr:uid="{DA8A4FFC-5F87-4D9D-99E5-3767F499E27A}">
      <text>
        <t>[Threaded comment]
Your version of Excel allows you to read this threaded comment; however, any edits to it will get removed if the file is opened in a newer version of Excel. Learn more: https://go.microsoft.com/fwlink/?linkid=870924
Comment:
    As of Q4 2023</t>
      </text>
    </comment>
    <comment ref="V277" authorId="38" shapeId="0" xr:uid="{6D1250DE-452D-4782-BF48-B30BEE25874F}">
      <text>
        <t>[Threaded comment]
Your version of Excel allows you to read this threaded comment; however, any edits to it will get removed if the file is opened in a newer version of Excel. Learn more: https://go.microsoft.com/fwlink/?linkid=870924
Comment:
    As of Q4 2023</t>
      </text>
    </comment>
    <comment ref="W277" authorId="39" shapeId="0" xr:uid="{11B32DED-24D6-42B6-AD74-ED36B72880F6}">
      <text>
        <t>[Threaded comment]
Your version of Excel allows you to read this threaded comment; however, any edits to it will get removed if the file is opened in a newer version of Excel. Learn more: https://go.microsoft.com/fwlink/?linkid=870924
Comment:
    As of Q4 2023</t>
      </text>
    </comment>
    <comment ref="X277" authorId="40" shapeId="0" xr:uid="{1129DD31-34CA-4350-A9C4-8E668A660D4B}">
      <text>
        <t>[Threaded comment]
Your version of Excel allows you to read this threaded comment; however, any edits to it will get removed if the file is opened in a newer version of Excel. Learn more: https://go.microsoft.com/fwlink/?linkid=870924
Comment:
    As of Q4 2023</t>
      </text>
    </comment>
    <comment ref="Z277" authorId="41" shapeId="0" xr:uid="{C3809E9F-09DF-43E2-B610-CA137DDCC9D8}">
      <text>
        <t>[Threaded comment]
Your version of Excel allows you to read this threaded comment; however, any edits to it will get removed if the file is opened in a newer version of Excel. Learn more: https://go.microsoft.com/fwlink/?linkid=870924
Comment:
    As of Q4 2023</t>
      </text>
    </comment>
    <comment ref="U280" authorId="42" shapeId="0" xr:uid="{701D3A6B-2FB3-4099-9CCF-2B0DAC7A1BB6}">
      <text>
        <t>[Threaded comment]
Your version of Excel allows you to read this threaded comment; however, any edits to it will get removed if the file is opened in a newer version of Excel. Learn more: https://go.microsoft.com/fwlink/?linkid=870924
Comment:
    As of Q4 2023</t>
      </text>
    </comment>
    <comment ref="V280" authorId="43" shapeId="0" xr:uid="{7A5EAF2D-54BB-47FE-87C1-22349B911EF0}">
      <text>
        <t>[Threaded comment]
Your version of Excel allows you to read this threaded comment; however, any edits to it will get removed if the file is opened in a newer version of Excel. Learn more: https://go.microsoft.com/fwlink/?linkid=870924
Comment:
    As of Q4 2023</t>
      </text>
    </comment>
    <comment ref="W280" authorId="44" shapeId="0" xr:uid="{40E960D8-0B50-4231-AE2D-431B8E03E2A9}">
      <text>
        <t>[Threaded comment]
Your version of Excel allows you to read this threaded comment; however, any edits to it will get removed if the file is opened in a newer version of Excel. Learn more: https://go.microsoft.com/fwlink/?linkid=870924
Comment:
    As of Q4 2023</t>
      </text>
    </comment>
    <comment ref="X280" authorId="45" shapeId="0" xr:uid="{7A36E2A3-9D2E-4C96-8375-64D85352A289}">
      <text>
        <t>[Threaded comment]
Your version of Excel allows you to read this threaded comment; however, any edits to it will get removed if the file is opened in a newer version of Excel. Learn more: https://go.microsoft.com/fwlink/?linkid=870924
Comment:
    As of Q4 2023</t>
      </text>
    </comment>
    <comment ref="Z280" authorId="46" shapeId="0" xr:uid="{A7D56BCD-FDB3-46F1-8D35-BB1958FAE16D}">
      <text>
        <t>[Threaded comment]
Your version of Excel allows you to read this threaded comment; however, any edits to it will get removed if the file is opened in a newer version of Excel. Learn more: https://go.microsoft.com/fwlink/?linkid=870924
Comment:
    As Q4 2023</t>
      </text>
    </comment>
    <comment ref="U281" authorId="47" shapeId="0" xr:uid="{49A707ED-16C8-4D3B-9AB8-CA37AF29A1D8}">
      <text>
        <t>[Threaded comment]
Your version of Excel allows you to read this threaded comment; however, any edits to it will get removed if the file is opened in a newer version of Excel. Learn more: https://go.microsoft.com/fwlink/?linkid=870924
Comment:
    As of Q4 2023</t>
      </text>
    </comment>
    <comment ref="V281" authorId="48" shapeId="0" xr:uid="{ED679634-0DD6-4923-926A-3662E59C6727}">
      <text>
        <t>[Threaded comment]
Your version of Excel allows you to read this threaded comment; however, any edits to it will get removed if the file is opened in a newer version of Excel. Learn more: https://go.microsoft.com/fwlink/?linkid=870924
Comment:
    As of Q4 2023</t>
      </text>
    </comment>
    <comment ref="W281" authorId="49" shapeId="0" xr:uid="{81F1BF00-ED39-4472-A581-2426CD98CB0D}">
      <text>
        <t>[Threaded comment]
Your version of Excel allows you to read this threaded comment; however, any edits to it will get removed if the file is opened in a newer version of Excel. Learn more: https://go.microsoft.com/fwlink/?linkid=870924
Comment:
    As of Q4 2023</t>
      </text>
    </comment>
    <comment ref="X281" authorId="50" shapeId="0" xr:uid="{6F3F7150-4928-4ACB-8416-B51C751D1562}">
      <text>
        <t>[Threaded comment]
Your version of Excel allows you to read this threaded comment; however, any edits to it will get removed if the file is opened in a newer version of Excel. Learn more: https://go.microsoft.com/fwlink/?linkid=870924
Comment:
    As of Q4 2023</t>
      </text>
    </comment>
    <comment ref="Z281" authorId="51" shapeId="0" xr:uid="{A6B3C8FA-4728-404F-8942-8FBB1A460C99}">
      <text>
        <t>[Threaded comment]
Your version of Excel allows you to read this threaded comment; however, any edits to it will get removed if the file is opened in a newer version of Excel. Learn more: https://go.microsoft.com/fwlink/?linkid=870924
Comment:
    As Q4 2023</t>
      </text>
    </comment>
    <comment ref="U289" authorId="52" shapeId="0" xr:uid="{73FB3CC5-1EE2-4405-BECC-D7F533D1CD77}">
      <text>
        <t>[Threaded comment]
Your version of Excel allows you to read this threaded comment; however, any edits to it will get removed if the file is opened in a newer version of Excel. Learn more: https://go.microsoft.com/fwlink/?linkid=870924
Comment:
    As of Q4 2023</t>
      </text>
    </comment>
    <comment ref="V289" authorId="53" shapeId="0" xr:uid="{3EBBE5AA-4721-46B6-BB3A-846E17FC603F}">
      <text>
        <t>[Threaded comment]
Your version of Excel allows you to read this threaded comment; however, any edits to it will get removed if the file is opened in a newer version of Excel. Learn more: https://go.microsoft.com/fwlink/?linkid=870924
Comment:
    As of Q4 2023</t>
      </text>
    </comment>
    <comment ref="W289" authorId="54" shapeId="0" xr:uid="{47870796-42ED-40F0-AD6B-449F4C74F388}">
      <text>
        <t>[Threaded comment]
Your version of Excel allows you to read this threaded comment; however, any edits to it will get removed if the file is opened in a newer version of Excel. Learn more: https://go.microsoft.com/fwlink/?linkid=870924
Comment:
    As of Q4 2023</t>
      </text>
    </comment>
    <comment ref="X289" authorId="55" shapeId="0" xr:uid="{506A85F7-FB3B-490F-873C-2729D095BE34}">
      <text>
        <t>[Threaded comment]
Your version of Excel allows you to read this threaded comment; however, any edits to it will get removed if the file is opened in a newer version of Excel. Learn more: https://go.microsoft.com/fwlink/?linkid=870924
Comment:
    As of Q4 2023</t>
      </text>
    </comment>
    <comment ref="Z289" authorId="56" shapeId="0" xr:uid="{35733C8B-52A5-4A69-BC8B-A39FB0AEB8BD}">
      <text>
        <t>[Threaded comment]
Your version of Excel allows you to read this threaded comment; however, any edits to it will get removed if the file is opened in a newer version of Excel. Learn more: https://go.microsoft.com/fwlink/?linkid=870924
Comment:
    As of Q4 2023</t>
      </text>
    </comment>
    <comment ref="AA289" authorId="57" shapeId="0" xr:uid="{45E272FA-A014-475A-BE3A-9477806B13C2}">
      <text>
        <t>[Threaded comment]
Your version of Excel allows you to read this threaded comment; however, any edits to it will get removed if the file is opened in a newer version of Excel. Learn more: https://go.microsoft.com/fwlink/?linkid=870924
Comment:
    As of Q4 2023</t>
      </text>
    </comment>
    <comment ref="AB289" authorId="58" shapeId="0" xr:uid="{66CBFB0D-3B20-47F5-BF65-4A3D94BD2AF4}">
      <text>
        <t>[Threaded comment]
Your version of Excel allows you to read this threaded comment; however, any edits to it will get removed if the file is opened in a newer version of Excel. Learn more: https://go.microsoft.com/fwlink/?linkid=870924
Comment:
    As of Q4 2023</t>
      </text>
    </comment>
    <comment ref="AC289" authorId="59" shapeId="0" xr:uid="{A26B90AB-2F1B-4E2E-AA61-23FD6282B739}">
      <text>
        <t>[Threaded comment]
Your version of Excel allows you to read this threaded comment; however, any edits to it will get removed if the file is opened in a newer version of Excel. Learn more: https://go.microsoft.com/fwlink/?linkid=870924
Comment:
    As of Q4 2023</t>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9">
    <bk>
      <extLst>
        <ext uri="{3e2802c4-a4d2-4d8b-9148-e3be6c30e623}">
          <xlrd:rvb i="2"/>
        </ext>
      </extLst>
    </bk>
    <bk>
      <extLst>
        <ext uri="{3e2802c4-a4d2-4d8b-9148-e3be6c30e623}">
          <xlrd:rvb i="5"/>
        </ext>
      </extLst>
    </bk>
    <bk>
      <extLst>
        <ext uri="{3e2802c4-a4d2-4d8b-9148-e3be6c30e623}">
          <xlrd:rvb i="8"/>
        </ext>
      </extLst>
    </bk>
    <bk>
      <extLst>
        <ext uri="{3e2802c4-a4d2-4d8b-9148-e3be6c30e623}">
          <xlrd:rvb i="11"/>
        </ext>
      </extLst>
    </bk>
    <bk>
      <extLst>
        <ext uri="{3e2802c4-a4d2-4d8b-9148-e3be6c30e623}">
          <xlrd:rvb i="14"/>
        </ext>
      </extLst>
    </bk>
    <bk>
      <extLst>
        <ext uri="{3e2802c4-a4d2-4d8b-9148-e3be6c30e623}">
          <xlrd:rvb i="17"/>
        </ext>
      </extLst>
    </bk>
    <bk>
      <extLst>
        <ext uri="{3e2802c4-a4d2-4d8b-9148-e3be6c30e623}">
          <xlrd:rvb i="20"/>
        </ext>
      </extLst>
    </bk>
    <bk>
      <extLst>
        <ext uri="{3e2802c4-a4d2-4d8b-9148-e3be6c30e623}">
          <xlrd:rvb i="23"/>
        </ext>
      </extLst>
    </bk>
    <bk>
      <extLst>
        <ext uri="{3e2802c4-a4d2-4d8b-9148-e3be6c30e623}">
          <xlrd:rvb i="26"/>
        </ext>
      </extLst>
    </bk>
    <bk>
      <extLst>
        <ext uri="{3e2802c4-a4d2-4d8b-9148-e3be6c30e623}">
          <xlrd:rvb i="29"/>
        </ext>
      </extLst>
    </bk>
    <bk>
      <extLst>
        <ext uri="{3e2802c4-a4d2-4d8b-9148-e3be6c30e623}">
          <xlrd:rvb i="32"/>
        </ext>
      </extLst>
    </bk>
    <bk>
      <extLst>
        <ext uri="{3e2802c4-a4d2-4d8b-9148-e3be6c30e623}">
          <xlrd:rvb i="35"/>
        </ext>
      </extLst>
    </bk>
    <bk>
      <extLst>
        <ext uri="{3e2802c4-a4d2-4d8b-9148-e3be6c30e623}">
          <xlrd:rvb i="38"/>
        </ext>
      </extLst>
    </bk>
    <bk>
      <extLst>
        <ext uri="{3e2802c4-a4d2-4d8b-9148-e3be6c30e623}">
          <xlrd:rvb i="41"/>
        </ext>
      </extLst>
    </bk>
    <bk>
      <extLst>
        <ext uri="{3e2802c4-a4d2-4d8b-9148-e3be6c30e623}">
          <xlrd:rvb i="44"/>
        </ext>
      </extLst>
    </bk>
    <bk>
      <extLst>
        <ext uri="{3e2802c4-a4d2-4d8b-9148-e3be6c30e623}">
          <xlrd:rvb i="47"/>
        </ext>
      </extLst>
    </bk>
    <bk>
      <extLst>
        <ext uri="{3e2802c4-a4d2-4d8b-9148-e3be6c30e623}">
          <xlrd:rvb i="50"/>
        </ext>
      </extLst>
    </bk>
    <bk>
      <extLst>
        <ext uri="{3e2802c4-a4d2-4d8b-9148-e3be6c30e623}">
          <xlrd:rvb i="53"/>
        </ext>
      </extLst>
    </bk>
    <bk>
      <extLst>
        <ext uri="{3e2802c4-a4d2-4d8b-9148-e3be6c30e623}">
          <xlrd:rvb i="56"/>
        </ext>
      </extLst>
    </bk>
    <bk>
      <extLst>
        <ext uri="{3e2802c4-a4d2-4d8b-9148-e3be6c30e623}">
          <xlrd:rvb i="59"/>
        </ext>
      </extLst>
    </bk>
    <bk>
      <extLst>
        <ext uri="{3e2802c4-a4d2-4d8b-9148-e3be6c30e623}">
          <xlrd:rvb i="62"/>
        </ext>
      </extLst>
    </bk>
    <bk>
      <extLst>
        <ext uri="{3e2802c4-a4d2-4d8b-9148-e3be6c30e623}">
          <xlrd:rvb i="65"/>
        </ext>
      </extLst>
    </bk>
    <bk>
      <extLst>
        <ext uri="{3e2802c4-a4d2-4d8b-9148-e3be6c30e623}">
          <xlrd:rvb i="68"/>
        </ext>
      </extLst>
    </bk>
    <bk>
      <extLst>
        <ext uri="{3e2802c4-a4d2-4d8b-9148-e3be6c30e623}">
          <xlrd:rvb i="71"/>
        </ext>
      </extLst>
    </bk>
    <bk>
      <extLst>
        <ext uri="{3e2802c4-a4d2-4d8b-9148-e3be6c30e623}">
          <xlrd:rvb i="74"/>
        </ext>
      </extLst>
    </bk>
    <bk>
      <extLst>
        <ext uri="{3e2802c4-a4d2-4d8b-9148-e3be6c30e623}">
          <xlrd:rvb i="76"/>
        </ext>
      </extLst>
    </bk>
    <bk>
      <extLst>
        <ext uri="{3e2802c4-a4d2-4d8b-9148-e3be6c30e623}">
          <xlrd:rvb i="78"/>
        </ext>
      </extLst>
    </bk>
    <bk>
      <extLst>
        <ext uri="{3e2802c4-a4d2-4d8b-9148-e3be6c30e623}">
          <xlrd:rvb i="80"/>
        </ext>
      </extLst>
    </bk>
    <bk>
      <extLst>
        <ext uri="{3e2802c4-a4d2-4d8b-9148-e3be6c30e623}">
          <xlrd:rvb i="83"/>
        </ext>
      </extLst>
    </bk>
  </futureMetadata>
  <cellMetadata count="1">
    <bk>
      <rc t="1" v="0"/>
    </bk>
  </cellMetadata>
  <valueMetadata count="29">
    <bk>
      <rc t="2" v="0"/>
    </bk>
    <bk>
      <rc t="2" v="1"/>
    </bk>
    <bk>
      <rc t="2" v="2"/>
    </bk>
    <bk>
      <rc t="2" v="3"/>
    </bk>
    <bk>
      <rc t="2" v="4"/>
    </bk>
    <bk>
      <rc t="2" v="5"/>
    </bk>
    <bk>
      <rc t="2" v="6"/>
    </bk>
    <bk>
      <rc t="2" v="7"/>
    </bk>
    <bk>
      <rc t="2" v="8"/>
    </bk>
    <bk>
      <rc t="2" v="9"/>
    </bk>
    <bk>
      <rc t="2" v="10"/>
    </bk>
    <bk>
      <rc t="2" v="11"/>
    </bk>
    <bk>
      <rc t="2" v="12"/>
    </bk>
    <bk>
      <rc t="2" v="13"/>
    </bk>
    <bk>
      <rc t="2" v="14"/>
    </bk>
    <bk>
      <rc t="2" v="15"/>
    </bk>
    <bk>
      <rc t="2" v="16"/>
    </bk>
    <bk>
      <rc t="2" v="17"/>
    </bk>
    <bk>
      <rc t="2" v="18"/>
    </bk>
    <bk>
      <rc t="2" v="19"/>
    </bk>
    <bk>
      <rc t="2" v="20"/>
    </bk>
    <bk>
      <rc t="2" v="21"/>
    </bk>
    <bk>
      <rc t="2" v="22"/>
    </bk>
    <bk>
      <rc t="2" v="23"/>
    </bk>
    <bk>
      <rc t="2" v="24"/>
    </bk>
    <bk>
      <rc t="2" v="25"/>
    </bk>
    <bk>
      <rc t="2" v="26"/>
    </bk>
    <bk>
      <rc t="2" v="27"/>
    </bk>
    <bk>
      <rc t="2" v="28"/>
    </bk>
  </valueMetadata>
</metadata>
</file>

<file path=xl/sharedStrings.xml><?xml version="1.0" encoding="utf-8"?>
<sst xmlns="http://schemas.openxmlformats.org/spreadsheetml/2006/main" count="3134" uniqueCount="1125">
  <si>
    <t>Dry Bulk</t>
  </si>
  <si>
    <t>Cape</t>
  </si>
  <si>
    <t>Scenario</t>
  </si>
  <si>
    <t>Vessel</t>
  </si>
  <si>
    <t>High</t>
  </si>
  <si>
    <t>Base</t>
  </si>
  <si>
    <t>Low</t>
  </si>
  <si>
    <t>Pmax</t>
  </si>
  <si>
    <t>Smax</t>
  </si>
  <si>
    <t>Umax</t>
  </si>
  <si>
    <t>Tankers</t>
  </si>
  <si>
    <t>VLCC</t>
  </si>
  <si>
    <t>Aframax</t>
  </si>
  <si>
    <t>Suezmax</t>
  </si>
  <si>
    <t>LR1</t>
  </si>
  <si>
    <t>MR</t>
  </si>
  <si>
    <t>SR</t>
  </si>
  <si>
    <t>LR2</t>
  </si>
  <si>
    <t>Panamax</t>
  </si>
  <si>
    <t>Summary</t>
  </si>
  <si>
    <t>Supramax</t>
  </si>
  <si>
    <t>NB</t>
  </si>
  <si>
    <t>resale</t>
  </si>
  <si>
    <t>5y</t>
  </si>
  <si>
    <t>10y</t>
  </si>
  <si>
    <t>15y</t>
  </si>
  <si>
    <t>scrap</t>
  </si>
  <si>
    <t>Company</t>
  </si>
  <si>
    <t>Price</t>
  </si>
  <si>
    <t>NAV/share</t>
  </si>
  <si>
    <t>P/NAV</t>
  </si>
  <si>
    <t>Daily Change</t>
  </si>
  <si>
    <t>52 Week Max</t>
  </si>
  <si>
    <t>52 Week Min</t>
  </si>
  <si>
    <t>Containers</t>
  </si>
  <si>
    <t>Handymax</t>
  </si>
  <si>
    <t>Clean Tankers</t>
  </si>
  <si>
    <t>Q4-2023</t>
  </si>
  <si>
    <t>P/Forward NAV</t>
  </si>
  <si>
    <t>Handysize</t>
  </si>
  <si>
    <t>20y</t>
  </si>
  <si>
    <t>Aframax as reference</t>
  </si>
  <si>
    <t>MR plus 10%</t>
  </si>
  <si>
    <t>MR less 10%</t>
  </si>
  <si>
    <t>Crude Tankers</t>
  </si>
  <si>
    <t>Dividend Yield 2024</t>
  </si>
  <si>
    <t>Dividend Yield 2025</t>
  </si>
  <si>
    <t>PE 2024</t>
  </si>
  <si>
    <t>PE 2025</t>
  </si>
  <si>
    <t>Q1-2024</t>
  </si>
  <si>
    <t>Q2-2024</t>
  </si>
  <si>
    <t>Q3-2024</t>
  </si>
  <si>
    <t>Q4-2024</t>
  </si>
  <si>
    <t>Q1-2025</t>
  </si>
  <si>
    <t>Q2-2025</t>
  </si>
  <si>
    <t>Q3-2025</t>
  </si>
  <si>
    <t>Q4-2025</t>
  </si>
  <si>
    <t>Q1-2026</t>
  </si>
  <si>
    <t>Q2-2026</t>
  </si>
  <si>
    <t>Q3-2026</t>
  </si>
  <si>
    <t>Q4-2026</t>
  </si>
  <si>
    <t>15% premium over Supramax</t>
  </si>
  <si>
    <t>20% premium over base</t>
  </si>
  <si>
    <t>20% discount over base</t>
  </si>
  <si>
    <t>Source</t>
  </si>
  <si>
    <t>Cleaves</t>
  </si>
  <si>
    <t>Newcastle</t>
  </si>
  <si>
    <t>Años</t>
  </si>
  <si>
    <t>Drybulk</t>
  </si>
  <si>
    <t>^3</t>
  </si>
  <si>
    <t>^2</t>
  </si>
  <si>
    <t>^1</t>
  </si>
  <si>
    <t>Res.</t>
  </si>
  <si>
    <t>Ultramax</t>
  </si>
  <si>
    <t>Revenue</t>
  </si>
  <si>
    <t>Commissions</t>
  </si>
  <si>
    <t>Voyage Expenses</t>
  </si>
  <si>
    <t>TCE Revenue</t>
  </si>
  <si>
    <t>Vessel OPEX</t>
  </si>
  <si>
    <t>Management Fees</t>
  </si>
  <si>
    <t>G&amp;A</t>
  </si>
  <si>
    <t>Other</t>
  </si>
  <si>
    <t>EBITDA</t>
  </si>
  <si>
    <t>D&amp;A</t>
  </si>
  <si>
    <t>Impairment or gain dispossal of vessels</t>
  </si>
  <si>
    <t>Interest income</t>
  </si>
  <si>
    <t>Other expenses</t>
  </si>
  <si>
    <t>Interest and other finance costs</t>
  </si>
  <si>
    <t>Unrealized gain/loss on derivates</t>
  </si>
  <si>
    <t>Realized loss on derivatives</t>
  </si>
  <si>
    <t>Foreign exchange (loss)/gain</t>
  </si>
  <si>
    <t>Taxes</t>
  </si>
  <si>
    <t>Net Income</t>
  </si>
  <si>
    <t>EPS USD</t>
  </si>
  <si>
    <t>EPS NOK</t>
  </si>
  <si>
    <t>Weighted average # of shares diluted</t>
  </si>
  <si>
    <t>Historicals (€m, as reported)</t>
  </si>
  <si>
    <t>FY</t>
  </si>
  <si>
    <t>Income Statement &amp; Cash Flow Statement</t>
  </si>
  <si>
    <t>FY 2019</t>
  </si>
  <si>
    <t>FY 2020</t>
  </si>
  <si>
    <t>FY 2021</t>
  </si>
  <si>
    <t>FY 2022</t>
  </si>
  <si>
    <t>FY 2023</t>
  </si>
  <si>
    <t>FY 2024</t>
  </si>
  <si>
    <t>FY 2025</t>
  </si>
  <si>
    <t>Interest expenses</t>
  </si>
  <si>
    <t>Amortization of loan financing fees</t>
  </si>
  <si>
    <t>Unrealized (gain)/loss on derivatives</t>
  </si>
  <si>
    <t>Other non-cash items</t>
  </si>
  <si>
    <t>Foreign exchange differences</t>
  </si>
  <si>
    <t>Net gain on disposal of vessels</t>
  </si>
  <si>
    <t>Impairment loss</t>
  </si>
  <si>
    <t>Trade and other receivables</t>
  </si>
  <si>
    <t>Prepaid expenses and other current assets</t>
  </si>
  <si>
    <t>Inventories</t>
  </si>
  <si>
    <t>Trade payables</t>
  </si>
  <si>
    <t>Accrued expenses</t>
  </si>
  <si>
    <t>Deferred revenue</t>
  </si>
  <si>
    <t>Claims receivable</t>
  </si>
  <si>
    <t>Payments of amounts due to related parties</t>
  </si>
  <si>
    <t>Interest paid</t>
  </si>
  <si>
    <t>Current accounts due from related parties</t>
  </si>
  <si>
    <t>Payments for other fixes assets</t>
  </si>
  <si>
    <t>Proceeds from vessels' disposal</t>
  </si>
  <si>
    <t>Decrease/(increase) in restricted cash</t>
  </si>
  <si>
    <t>Dry-dock expenses</t>
  </si>
  <si>
    <t>Payments for vessels and vessels under construction</t>
  </si>
  <si>
    <t>Interest received</t>
  </si>
  <si>
    <t>Proceeds from long-term borrowings</t>
  </si>
  <si>
    <t>Repayments of long-term borrowings</t>
  </si>
  <si>
    <t>Capital distribution</t>
  </si>
  <si>
    <t>Current accounts due to related parties</t>
  </si>
  <si>
    <t>Payment of loan financing fees</t>
  </si>
  <si>
    <t>Acquisition of treasury stock</t>
  </si>
  <si>
    <t>Dividends paid</t>
  </si>
  <si>
    <t>Proceeds from private placement</t>
  </si>
  <si>
    <t>Payments for offering expenses</t>
  </si>
  <si>
    <t>Investing Cash Flow</t>
  </si>
  <si>
    <t>Operating Cash Flow</t>
  </si>
  <si>
    <t>Financing Cash Flow</t>
  </si>
  <si>
    <t>Net increase (+)/decrease (-) in cash and cash equivalents</t>
  </si>
  <si>
    <t>Effect of exchange rate fluctuations on cash and cash equivalents</t>
  </si>
  <si>
    <t>Cash and cash equivalents at the beginning of the reporting period</t>
  </si>
  <si>
    <t>Cash and cash equivalents at the end of the reporting period</t>
  </si>
  <si>
    <t>Balance Sheet</t>
  </si>
  <si>
    <t>Vessels, Net</t>
  </si>
  <si>
    <t>Vessels under construction</t>
  </si>
  <si>
    <t>Other fixed assets</t>
  </si>
  <si>
    <t>Derivative financial instrument</t>
  </si>
  <si>
    <t>Restricted cash</t>
  </si>
  <si>
    <t>Vessels classified as held for sale</t>
  </si>
  <si>
    <t>Derivative financial instruments</t>
  </si>
  <si>
    <t>Current portion of restricted cash</t>
  </si>
  <si>
    <t>Cash and cash equivalents</t>
  </si>
  <si>
    <t>Total Current Assets</t>
  </si>
  <si>
    <t>Total Non-current Assets</t>
  </si>
  <si>
    <t>Long-term borrowings</t>
  </si>
  <si>
    <t>Retirement benefit obligations</t>
  </si>
  <si>
    <t>Vessels clasified as held for sale</t>
  </si>
  <si>
    <t>Total Non-current Liabilities</t>
  </si>
  <si>
    <t>Deferrerd revenue</t>
  </si>
  <si>
    <t>Current portion of long-term borrowings</t>
  </si>
  <si>
    <t>Total Current Liabilities</t>
  </si>
  <si>
    <t>Equity</t>
  </si>
  <si>
    <t>Check</t>
  </si>
  <si>
    <t>Analysis &amp; Other Data</t>
  </si>
  <si>
    <t>EqV (millions FX)</t>
  </si>
  <si>
    <t>EqV (millions USD)</t>
  </si>
  <si>
    <t>EV (millions USD)</t>
  </si>
  <si>
    <t>Forward NAV/Share</t>
  </si>
  <si>
    <t>Fx</t>
  </si>
  <si>
    <t>Gross Debt</t>
  </si>
  <si>
    <t>Cash &amp; Cash Equivalents</t>
  </si>
  <si>
    <t>Net Debt</t>
  </si>
  <si>
    <t>Implied Interest Rate over Net Debt</t>
  </si>
  <si>
    <t>Implied Useful Life - Vessels</t>
  </si>
  <si>
    <t>Fleet and Estimates</t>
  </si>
  <si>
    <t>Nissos Milos</t>
  </si>
  <si>
    <t>Nissos Poliegos</t>
  </si>
  <si>
    <t xml:space="preserve">Nissos Kimolos </t>
  </si>
  <si>
    <t xml:space="preserve">Nissos Folegandros </t>
  </si>
  <si>
    <t>Nissos Sifnos</t>
  </si>
  <si>
    <t xml:space="preserve">Nissos Sikinos </t>
  </si>
  <si>
    <t xml:space="preserve">Nissos Rhenia </t>
  </si>
  <si>
    <t xml:space="preserve">Nissos Despotiko </t>
  </si>
  <si>
    <t xml:space="preserve">Nissos Donoussa </t>
  </si>
  <si>
    <t>Nissos Kythnos</t>
  </si>
  <si>
    <t xml:space="preserve">Nissos Keros </t>
  </si>
  <si>
    <t xml:space="preserve">Nissos Anafi </t>
  </si>
  <si>
    <t>Nissos Kea</t>
  </si>
  <si>
    <t>Nissos Nikuria</t>
  </si>
  <si>
    <t>Name</t>
  </si>
  <si>
    <t>Type</t>
  </si>
  <si>
    <t>Built</t>
  </si>
  <si>
    <t>Today</t>
  </si>
  <si>
    <t>Age</t>
  </si>
  <si>
    <t>Scrubber</t>
  </si>
  <si>
    <t>Eco</t>
  </si>
  <si>
    <t>Value</t>
  </si>
  <si>
    <t>DWT</t>
  </si>
  <si>
    <t>EPS EUR</t>
  </si>
  <si>
    <t>Pool revenues</t>
  </si>
  <si>
    <t>Time and bareboat charter revenues</t>
  </si>
  <si>
    <t>Voyage charter revenues</t>
  </si>
  <si>
    <t>Total Shipping Revenues</t>
  </si>
  <si>
    <t>Voyage expenses</t>
  </si>
  <si>
    <t>Vessel expenses</t>
  </si>
  <si>
    <t>Charter hire expenses</t>
  </si>
  <si>
    <t>Provision for credit losses</t>
  </si>
  <si>
    <t>Third-party debt modification fees</t>
  </si>
  <si>
    <t>Merger and integration costs</t>
  </si>
  <si>
    <t>Loss/(gain) on disposal of vessels and other property</t>
  </si>
  <si>
    <t>Equity in income of affiliated companies</t>
  </si>
  <si>
    <t>Other income/(expense)</t>
  </si>
  <si>
    <t>Interest expense</t>
  </si>
  <si>
    <t>Net loss attributable to noncontrolling interests</t>
  </si>
  <si>
    <t>Loss on write-down of vessels and other assets</t>
  </si>
  <si>
    <t>Amortization of debt discount and other deferred financing costs</t>
  </si>
  <si>
    <t>Amortization of time charter hire contracts acquired</t>
  </si>
  <si>
    <t>Deferred financing costs writ-off</t>
  </si>
  <si>
    <t>Stock compensation</t>
  </si>
  <si>
    <t>Earnings of affiliated companies</t>
  </si>
  <si>
    <t>Merger and integration related costs</t>
  </si>
  <si>
    <t>Change in fair value of interest rate collar recorded through earnings</t>
  </si>
  <si>
    <t>Writeoff of registration statements costs</t>
  </si>
  <si>
    <t>Other - net</t>
  </si>
  <si>
    <t>Loss on extinguishment of debt</t>
  </si>
  <si>
    <t>Loss on sale of investments in affiliated companies</t>
  </si>
  <si>
    <t>Cash distributions from affiliated companies</t>
  </si>
  <si>
    <t>Payments for drydocking</t>
  </si>
  <si>
    <t>Insurance claims proceeds related to vessel operations</t>
  </si>
  <si>
    <t>Changes in operating assets and liabilities</t>
  </si>
  <si>
    <t>Cash adquired, net of equity issuance costs related to merger</t>
  </si>
  <si>
    <t>Expenditures for vessels and vessel improvements</t>
  </si>
  <si>
    <t>Proceeds from disposal of vessels and other property</t>
  </si>
  <si>
    <t>Expenditures for other property</t>
  </si>
  <si>
    <t>Investments in and advances to affiliated companies</t>
  </si>
  <si>
    <t>Repayments of advances from joint venture investees</t>
  </si>
  <si>
    <t>Proceeds from sale of investments in affiliated companies</t>
  </si>
  <si>
    <t>Investments in short term time deposits</t>
  </si>
  <si>
    <t>Proceeds from maturities of short term time deposits</t>
  </si>
  <si>
    <t>Issuance of debt</t>
  </si>
  <si>
    <t>Exthinguishment of debt</t>
  </si>
  <si>
    <t>Premium and fees on extinguishment of debt</t>
  </si>
  <si>
    <t>Payments on debt</t>
  </si>
  <si>
    <t>Proceeds from sale and leaseback financing</t>
  </si>
  <si>
    <t>Payments on sale and leaseback financing</t>
  </si>
  <si>
    <t>Borrowings on revolving credit facilities</t>
  </si>
  <si>
    <t>Repayments on revolving credit facilities</t>
  </si>
  <si>
    <t>Cash payments on derivatives containing other-than-insignificant financing element</t>
  </si>
  <si>
    <t>Common stock issuance cost</t>
  </si>
  <si>
    <t>Payments of deferred financing costs</t>
  </si>
  <si>
    <t>Cash dividends paid</t>
  </si>
  <si>
    <t>Repurchases of common stock</t>
  </si>
  <si>
    <t>Distribution to noncontrolling interest</t>
  </si>
  <si>
    <t>Cash paid to tax authority upon vesting of stock-based compensation</t>
  </si>
  <si>
    <t>Restricted Cash</t>
  </si>
  <si>
    <t>Vessels and other property</t>
  </si>
  <si>
    <t>Vessels construction in progress</t>
  </si>
  <si>
    <t>Deferred drydock expenditures</t>
  </si>
  <si>
    <t>Operating lease right-of-use assets</t>
  </si>
  <si>
    <t>Financial lease right-of-use assets</t>
  </si>
  <si>
    <t>Long-term derivative assets</t>
  </si>
  <si>
    <t>Time charter contracts acquired</t>
  </si>
  <si>
    <t>Other assets</t>
  </si>
  <si>
    <t>Short Term Investments</t>
  </si>
  <si>
    <t>Voyage receivables</t>
  </si>
  <si>
    <t>Other receivables</t>
  </si>
  <si>
    <t>Advance payment of debt</t>
  </si>
  <si>
    <t>Current portion of derivative asset</t>
  </si>
  <si>
    <t>Vessels held for sale</t>
  </si>
  <si>
    <t>Long-term operating lease liabilities</t>
  </si>
  <si>
    <t>Long-term debt</t>
  </si>
  <si>
    <t>Long-term derivative liabilities</t>
  </si>
  <si>
    <t>Other liabilities</t>
  </si>
  <si>
    <t>Accounts payable</t>
  </si>
  <si>
    <t>Current portion of operating lease liabilities</t>
  </si>
  <si>
    <t>Current portion of finance lease liabilities</t>
  </si>
  <si>
    <t>Current installments of long-term debt</t>
  </si>
  <si>
    <t>Current portion of derivative liabilities</t>
  </si>
  <si>
    <t>Net Working Capital</t>
  </si>
  <si>
    <t>RED</t>
  </si>
  <si>
    <t>RIO GRANDE</t>
  </si>
  <si>
    <t>SEAWAYS SAN SABA</t>
  </si>
  <si>
    <t>FRIO</t>
  </si>
  <si>
    <t>COLORADO</t>
  </si>
  <si>
    <t>SEAWAYS BRAZOS</t>
  </si>
  <si>
    <t>SABINE</t>
  </si>
  <si>
    <t>SEAWAYS PECOS</t>
  </si>
  <si>
    <t>SEAWAYS YELLOWSTONE</t>
  </si>
  <si>
    <t>SEAWAYS YOSEMITE</t>
  </si>
  <si>
    <t>SEAWAYS REDWOOD</t>
  </si>
  <si>
    <t>SEAWAYS SHENANDOAH</t>
  </si>
  <si>
    <t>SEAWAYS GUAYAQUIL</t>
  </si>
  <si>
    <t>SEAWAYS EAGLE</t>
  </si>
  <si>
    <t>SEAWAYS VISAYAS</t>
  </si>
  <si>
    <t>SEAWAYS LUZON</t>
  </si>
  <si>
    <t>SEAWAYS LEYTE</t>
  </si>
  <si>
    <t>SEAWAYS SAMAR</t>
  </si>
  <si>
    <t>ADRIATIC WAVE</t>
  </si>
  <si>
    <t>AEGEAN WAVE</t>
  </si>
  <si>
    <t>ATLANTIC MUSE</t>
  </si>
  <si>
    <t>ALPINE MELINA</t>
  </si>
  <si>
    <t>ATLANTIC MIRAGE</t>
  </si>
  <si>
    <t>SEAWAYS OAK</t>
  </si>
  <si>
    <t>SEAWAYS NIAGARA</t>
  </si>
  <si>
    <t>SEAWAYS NANTUCKET</t>
  </si>
  <si>
    <t>SEAWAYS MILOS</t>
  </si>
  <si>
    <t>SEAWAYS ATHENS</t>
  </si>
  <si>
    <t>SEAWAYS KYTHNOS</t>
  </si>
  <si>
    <t>SEAWAYS SKOPELOS</t>
  </si>
  <si>
    <t>ALPINE MYSTERY</t>
  </si>
  <si>
    <t>SEAWAYS GRACE</t>
  </si>
  <si>
    <t>ATLANTIC POLARIS</t>
  </si>
  <si>
    <t>PACIFIC JEWEL</t>
  </si>
  <si>
    <t>SEAWAYS HURON</t>
  </si>
  <si>
    <t>SEAWAYS GATUN</t>
  </si>
  <si>
    <t>SEAWAYS HERCULES</t>
  </si>
  <si>
    <t>SEAWAYS GALLE</t>
  </si>
  <si>
    <t>Ownership</t>
  </si>
  <si>
    <t>OWNED</t>
  </si>
  <si>
    <t>BB-In</t>
  </si>
  <si>
    <t>TC-in</t>
  </si>
  <si>
    <t>SEAWAYS RAFFLES</t>
  </si>
  <si>
    <t>SEAWAYS LIBERTY</t>
  </si>
  <si>
    <t>SEAWAYS TRITON</t>
  </si>
  <si>
    <t>SEAWAYS CAPE HENRY</t>
  </si>
  <si>
    <t>SEAWAYS DIAMOND HEAD</t>
  </si>
  <si>
    <t>SEAWAYS HENDRICKS</t>
  </si>
  <si>
    <t>SEAWAYS TYBEE</t>
  </si>
  <si>
    <t>SEAWAYS ENDEAVOR (LNG)</t>
  </si>
  <si>
    <t>SEAWAYS Enterprise (LNG)</t>
  </si>
  <si>
    <t>SEAWAYS EXCELSIOR</t>
  </si>
  <si>
    <t>SEAWAYS KILIMANJARO</t>
  </si>
  <si>
    <t>SEAWAYS EVEREST</t>
  </si>
  <si>
    <t>SEAWAYS MCKINLEY</t>
  </si>
  <si>
    <t>TRINITY</t>
  </si>
  <si>
    <t>SAN JACINTO</t>
  </si>
  <si>
    <t>SEAWAYS HATTERAS</t>
  </si>
  <si>
    <t>SEAWAYS MONTAUK</t>
  </si>
  <si>
    <t>LOIRE</t>
  </si>
  <si>
    <t>SEAWAYS REYES</t>
  </si>
  <si>
    <t>PELAGIC TOPE</t>
  </si>
  <si>
    <t>SEAWAYS LOOKOUT</t>
  </si>
  <si>
    <t>SEAWAYS KOLBERG</t>
  </si>
  <si>
    <t>SEAWAYS KENOSHA</t>
  </si>
  <si>
    <t>SEAWAYS MADELEINE</t>
  </si>
  <si>
    <t>SEAWAYS MATHILDE</t>
  </si>
  <si>
    <t>SEAWAYS MIA</t>
  </si>
  <si>
    <t>SEAWAYS MOMENT</t>
  </si>
  <si>
    <t>SEAWAYS JEJU</t>
  </si>
  <si>
    <t>SEAWAYS FRONTIER</t>
  </si>
  <si>
    <t>SEAWAYS LILY</t>
  </si>
  <si>
    <t>SEAWAYS ROSE</t>
  </si>
  <si>
    <t>SEAWAYS STAR</t>
  </si>
  <si>
    <t>SEAWAYS TITAN</t>
  </si>
  <si>
    <t>SEAWAYS CITRON</t>
  </si>
  <si>
    <t xml:space="preserve">Dry Bulk </t>
  </si>
  <si>
    <t>FY2025</t>
  </si>
  <si>
    <t>FY2026</t>
  </si>
  <si>
    <t>FY2024</t>
  </si>
  <si>
    <t>Valuation Matrix</t>
  </si>
  <si>
    <t>Bareboat charter revenue</t>
  </si>
  <si>
    <t>Time charter hire costs</t>
  </si>
  <si>
    <t>Other direct operating costs</t>
  </si>
  <si>
    <t>Result from disposal of vessel</t>
  </si>
  <si>
    <t>Depreciation, impairment and impairment reversal</t>
  </si>
  <si>
    <t>Depreciation of right-of-use leased asset</t>
  </si>
  <si>
    <t>Financial income</t>
  </si>
  <si>
    <t>Financial expenses</t>
  </si>
  <si>
    <t>Profit share of equity accounted investee</t>
  </si>
  <si>
    <t>(Impairment) Reversal of impairment of loan to an equity accounted investee</t>
  </si>
  <si>
    <t>Loss on disposal of financial investment</t>
  </si>
  <si>
    <t>Depreciation and amortisation and impairment</t>
  </si>
  <si>
    <t>Depreciation of right-of-use leased assets</t>
  </si>
  <si>
    <t>Impairment</t>
  </si>
  <si>
    <t>Current and deferred income tax</t>
  </si>
  <si>
    <t>Net finance lease cost</t>
  </si>
  <si>
    <t>Other financial charges (income)</t>
  </si>
  <si>
    <t>Unrealised foreign exchange result</t>
  </si>
  <si>
    <t>Profti share of equity-accounted investment</t>
  </si>
  <si>
    <t>Profit on disposal of fixed assets</t>
  </si>
  <si>
    <t>Impairment (reversal) of a financial asset v/related party</t>
  </si>
  <si>
    <t>Reversal of vessel impairment</t>
  </si>
  <si>
    <t>Movement in share option reserve</t>
  </si>
  <si>
    <t>Movement in deferred result on disposal of S&amp;L assets</t>
  </si>
  <si>
    <t>Other non-cash changes</t>
  </si>
  <si>
    <t>Balance on liquidation of equity accounted investee</t>
  </si>
  <si>
    <t>Share-based accruals LTI Plan</t>
  </si>
  <si>
    <t>Movement in inventories</t>
  </si>
  <si>
    <t>Movement in amounts receivable</t>
  </si>
  <si>
    <t>Movement in amounts payable</t>
  </si>
  <si>
    <t>Net payment of interest portion of lease liability/receivable</t>
  </si>
  <si>
    <t>Taxes paid</t>
  </si>
  <si>
    <t>Net interest paid</t>
  </si>
  <si>
    <t>Acquisition of fixed assets</t>
  </si>
  <si>
    <t>Proceeds from disposal of fixed assets</t>
  </si>
  <si>
    <t>Dividend from equity-accounted investee ETL</t>
  </si>
  <si>
    <t>Movement in financing to equity accounted investee</t>
  </si>
  <si>
    <t>Increase in participation in Glenda internationl shipping</t>
  </si>
  <si>
    <t>Share capital increase</t>
  </si>
  <si>
    <t>Treasury shares</t>
  </si>
  <si>
    <t>Other changes in shareholders' equity</t>
  </si>
  <si>
    <t>Shareholder's financing</t>
  </si>
  <si>
    <t>Movement in other financial receivable</t>
  </si>
  <si>
    <t>Movement in other financial payables</t>
  </si>
  <si>
    <t>Bank loan repayments</t>
  </si>
  <si>
    <t>Bank loan draw-downs</t>
  </si>
  <si>
    <t>Proceeds from disposal of assets subsequently leased back</t>
  </si>
  <si>
    <t>Repayments of financial leases</t>
  </si>
  <si>
    <t>Dividends</t>
  </si>
  <si>
    <t>Purchase of Treasury shares</t>
  </si>
  <si>
    <t>PP&amp;E</t>
  </si>
  <si>
    <t>Right-of-use assets</t>
  </si>
  <si>
    <t>Investments in jointly controlled entities</t>
  </si>
  <si>
    <t>Other non-current financial assets</t>
  </si>
  <si>
    <t>Receivables and other current assets</t>
  </si>
  <si>
    <t>Other current financial assets</t>
  </si>
  <si>
    <t>Assets held for sale</t>
  </si>
  <si>
    <t>Bank overdrafts</t>
  </si>
  <si>
    <t>Banks and other lenders</t>
  </si>
  <si>
    <t>Non-current lease liabilities</t>
  </si>
  <si>
    <t>Shareholders' long-term loan</t>
  </si>
  <si>
    <t>Other non-current financial liabilities</t>
  </si>
  <si>
    <t>Current lease liabilities</t>
  </si>
  <si>
    <t>Shareholders' short-term loan</t>
  </si>
  <si>
    <t>Payables and other current liabilities</t>
  </si>
  <si>
    <t>Other current financial liabilities</t>
  </si>
  <si>
    <t>Current tax payable</t>
  </si>
  <si>
    <t>Banks associated to assets held-for sale</t>
  </si>
  <si>
    <t>Bright Future ECO</t>
  </si>
  <si>
    <t>Cielo di Cagliari ECO</t>
  </si>
  <si>
    <t>Cielo Rosso ECO</t>
  </si>
  <si>
    <t>Cielo di Rotterdam ECO</t>
  </si>
  <si>
    <t>Cielo Bianco ECO</t>
  </si>
  <si>
    <t>Cielo di Houston ECO</t>
  </si>
  <si>
    <t>High Challenge ECO</t>
  </si>
  <si>
    <t>High Wind ECO</t>
  </si>
  <si>
    <t>High Tide</t>
  </si>
  <si>
    <t>High Seas</t>
  </si>
  <si>
    <t>GLENDA Melissa</t>
  </si>
  <si>
    <t>GLENDA Meryl</t>
  </si>
  <si>
    <t>GLENDA Melody</t>
  </si>
  <si>
    <t>GLENDA Melanie</t>
  </si>
  <si>
    <t>High Trust ECO</t>
  </si>
  <si>
    <t>High Trader ECO</t>
  </si>
  <si>
    <t>High Loyalty ECO</t>
  </si>
  <si>
    <t>High Freedom</t>
  </si>
  <si>
    <t>High Discovery</t>
  </si>
  <si>
    <t>High Voyager</t>
  </si>
  <si>
    <t>High Fidelity</t>
  </si>
  <si>
    <t>High Leader ECO</t>
  </si>
  <si>
    <t>High Navigator ECO</t>
  </si>
  <si>
    <t>High Adventurer ECO</t>
  </si>
  <si>
    <t>Crimson Pearl ECO</t>
  </si>
  <si>
    <t>Crimson Jade ECO</t>
  </si>
  <si>
    <t>Green Planet</t>
  </si>
  <si>
    <t>High Prosperity</t>
  </si>
  <si>
    <t>High SD Yihe</t>
  </si>
  <si>
    <t>Cielo di Salerno ECO</t>
  </si>
  <si>
    <t>Cielo di Hanoi ECO</t>
  </si>
  <si>
    <t>Cielo di Capri ECO</t>
  </si>
  <si>
    <t>Cielo di Ulsan ECO</t>
  </si>
  <si>
    <t>Cielo di New York</t>
  </si>
  <si>
    <t>Cielo di Gaeta</t>
  </si>
  <si>
    <t>Owned</t>
  </si>
  <si>
    <t>BB (option)</t>
  </si>
  <si>
    <t>TC-IN (option)</t>
  </si>
  <si>
    <t>High Explorer</t>
  </si>
  <si>
    <t>TC-IN (NO option)</t>
  </si>
  <si>
    <t>Time charter revenue</t>
  </si>
  <si>
    <t>Drydocking expenses</t>
  </si>
  <si>
    <t>Related party management fees</t>
  </si>
  <si>
    <t>SG&amp;A</t>
  </si>
  <si>
    <t>Other operating loss</t>
  </si>
  <si>
    <t>Vessel OpEx</t>
  </si>
  <si>
    <t>Interest and other financing costs</t>
  </si>
  <si>
    <t>Loss on debt extinguishment</t>
  </si>
  <si>
    <t>(Loss)/gain on derivatives, net</t>
  </si>
  <si>
    <t>Dividend Series B Preferred shares</t>
  </si>
  <si>
    <t>Preferred deemed dividend</t>
  </si>
  <si>
    <t>Net gain on sale of vessel</t>
  </si>
  <si>
    <t>Amortization and write off of deferred charges</t>
  </si>
  <si>
    <t xml:space="preserve">Share-based compensation </t>
  </si>
  <si>
    <t>Provision for doubtful debts</t>
  </si>
  <si>
    <t>Change in fair value of derivatives</t>
  </si>
  <si>
    <t>Bad debt expense</t>
  </si>
  <si>
    <t>Loss on debt extinguisment</t>
  </si>
  <si>
    <t>Gain on sale of vessel</t>
  </si>
  <si>
    <t>Prepaid expenses</t>
  </si>
  <si>
    <t>Due from related companies</t>
  </si>
  <si>
    <t>Trade accounts payable</t>
  </si>
  <si>
    <t>Deferred revenues</t>
  </si>
  <si>
    <t>Change in Working Capital</t>
  </si>
  <si>
    <t>Cash paid for vessels improvements</t>
  </si>
  <si>
    <t>Cash paid for vessel acquisition</t>
  </si>
  <si>
    <t>Net Proceeds from vessel sale</t>
  </si>
  <si>
    <t>Net increase in former Parent Company</t>
  </si>
  <si>
    <t>Redemption of preferred shares</t>
  </si>
  <si>
    <t>Proceeds from issuance of common stock, net of commissions paid</t>
  </si>
  <si>
    <t>Cash paid for share repurchase</t>
  </si>
  <si>
    <t>Preferred dividends paid</t>
  </si>
  <si>
    <t>Offering expenses paid</t>
  </si>
  <si>
    <t>Loan arrengement fees paid</t>
  </si>
  <si>
    <t>Proceeds from related party loan</t>
  </si>
  <si>
    <t>Proceeds from long-term bank loans</t>
  </si>
  <si>
    <t>Repayment of related party loan</t>
  </si>
  <si>
    <t>Repayment of long-term bank loans</t>
  </si>
  <si>
    <t>Trade accounts receivables</t>
  </si>
  <si>
    <t>Derivatives</t>
  </si>
  <si>
    <t>Vessels, net</t>
  </si>
  <si>
    <t>Long-term bank loans, net of current portion</t>
  </si>
  <si>
    <t>Long-term bank loans, current portion</t>
  </si>
  <si>
    <t>Accrued preferred dividends</t>
  </si>
  <si>
    <t>Due to related parties</t>
  </si>
  <si>
    <t>Ekaterini</t>
  </si>
  <si>
    <t>Xenia</t>
  </si>
  <si>
    <t>Alexandros P.</t>
  </si>
  <si>
    <t>Good Heart</t>
  </si>
  <si>
    <t>Molyvos Luck</t>
  </si>
  <si>
    <t>Eirini P</t>
  </si>
  <si>
    <t>Santa Cruz</t>
  </si>
  <si>
    <t>Starlight</t>
  </si>
  <si>
    <t>Tasos</t>
  </si>
  <si>
    <t>Blessed Luck</t>
  </si>
  <si>
    <t>Kamsarmax</t>
  </si>
  <si>
    <t>Christos K</t>
  </si>
  <si>
    <t>Yannis Pittas</t>
  </si>
  <si>
    <t>María</t>
  </si>
  <si>
    <t>Time Charter Revenues</t>
  </si>
  <si>
    <t>Voyage Charter Revenues</t>
  </si>
  <si>
    <t>Other revenues</t>
  </si>
  <si>
    <t>Voyage expenses and commission</t>
  </si>
  <si>
    <t>Interest Income</t>
  </si>
  <si>
    <t>Interest Expenses</t>
  </si>
  <si>
    <t>Gain on derivatives</t>
  </si>
  <si>
    <t>Equity results of associated companies</t>
  </si>
  <si>
    <t>Other financial items</t>
  </si>
  <si>
    <t>Other gains and impairments (Non-operative)</t>
  </si>
  <si>
    <t>Depreciation</t>
  </si>
  <si>
    <t>Amortization of derred charges</t>
  </si>
  <si>
    <t>(Gain) loss on sale of assets and amortization of deferred gains</t>
  </si>
  <si>
    <t>Impairment loss on vessels</t>
  </si>
  <si>
    <t>Impairment loss on right of use assets</t>
  </si>
  <si>
    <t>Share option expenses</t>
  </si>
  <si>
    <t>Dividends from associated companies</t>
  </si>
  <si>
    <t>Share of results of associated companies</t>
  </si>
  <si>
    <t>Gain from disposal of associated companies</t>
  </si>
  <si>
    <t>Amortization of charter party-out contracts</t>
  </si>
  <si>
    <t>Amortization of charter party-in contracts</t>
  </si>
  <si>
    <t>Amortization of other fair value adjustments, nets arising on the Merger</t>
  </si>
  <si>
    <t>Mark to market (gain) loss on derivatives</t>
  </si>
  <si>
    <t>Markt to market (gain) loss on marketable securities</t>
  </si>
  <si>
    <t>Provision for onerous contracts</t>
  </si>
  <si>
    <t>Non-cash lease expense</t>
  </si>
  <si>
    <t>Dividends received from marketable equity securities</t>
  </si>
  <si>
    <t>Payments received from seller credit receivable</t>
  </si>
  <si>
    <t>Purchase of investment in associated companies</t>
  </si>
  <si>
    <t>Proceeds from sale of shares in associated companies</t>
  </si>
  <si>
    <t>Loan advance to related parties</t>
  </si>
  <si>
    <t>Repayment of loans receivable from related parties</t>
  </si>
  <si>
    <t>Additions to vessels and right of use assets</t>
  </si>
  <si>
    <t>Additions to newbuildings</t>
  </si>
  <si>
    <t>Purchase of vessels and equipment</t>
  </si>
  <si>
    <t>Proceeds from sale of vessels</t>
  </si>
  <si>
    <t>Proceeds from sale of marketable securities</t>
  </si>
  <si>
    <t>Other investing activities</t>
  </si>
  <si>
    <t>Proceeds from long-term debt</t>
  </si>
  <si>
    <t>Repayment of long-term debt</t>
  </si>
  <si>
    <t>Repayment of finance leases</t>
  </si>
  <si>
    <t>Debt fees paid</t>
  </si>
  <si>
    <t>Net proceeds from share issuance</t>
  </si>
  <si>
    <t>Share repurchases</t>
  </si>
  <si>
    <t>Net proceeds from share distributions</t>
  </si>
  <si>
    <t>Lease incentives received</t>
  </si>
  <si>
    <t>Distributions to shareholders</t>
  </si>
  <si>
    <t>Cash &amp; Equivalents</t>
  </si>
  <si>
    <t>Marketable securities</t>
  </si>
  <si>
    <t>Trade receivables</t>
  </si>
  <si>
    <t>Other current assets</t>
  </si>
  <si>
    <t>Related party receivables</t>
  </si>
  <si>
    <t>Derivative instruments receivables</t>
  </si>
  <si>
    <t>Voyages in progress</t>
  </si>
  <si>
    <t>Favorable charter party contracts</t>
  </si>
  <si>
    <t>Vessels  and equipment</t>
  </si>
  <si>
    <t>Newbuildings</t>
  </si>
  <si>
    <t>Finance leases</t>
  </si>
  <si>
    <t>Operating leases</t>
  </si>
  <si>
    <t>Investments in associated companies</t>
  </si>
  <si>
    <t>Derivative instruments receivable</t>
  </si>
  <si>
    <t>Other long term assets</t>
  </si>
  <si>
    <t>Current portion of long-term debt</t>
  </si>
  <si>
    <t>Current portion of long-term related party debt</t>
  </si>
  <si>
    <t>Current portion of finance lease</t>
  </si>
  <si>
    <t>Current portion of operating lease</t>
  </si>
  <si>
    <t>Derivative instruments payables</t>
  </si>
  <si>
    <t>Related party payables</t>
  </si>
  <si>
    <t>Trade accounts payables</t>
  </si>
  <si>
    <t>Other current liabilities</t>
  </si>
  <si>
    <t>Long-term related party debt</t>
  </si>
  <si>
    <t>Non-current portion of finance lease obligations</t>
  </si>
  <si>
    <t>Non-current portion of operating lease obligations</t>
  </si>
  <si>
    <t>Battersea</t>
  </si>
  <si>
    <t>Capesize</t>
  </si>
  <si>
    <t>Belgravia</t>
  </si>
  <si>
    <t>Golden Amreen</t>
  </si>
  <si>
    <t>Golden Anastasia</t>
  </si>
  <si>
    <t>Golden Aquamarine</t>
  </si>
  <si>
    <t>Golden Arcus</t>
  </si>
  <si>
    <t>Golden Aso</t>
  </si>
  <si>
    <t>Golden Barnet</t>
  </si>
  <si>
    <t>Golden Behike</t>
  </si>
  <si>
    <t>Golden Beijing</t>
  </si>
  <si>
    <t>Golden Bexley</t>
  </si>
  <si>
    <t>Golden Calvus</t>
  </si>
  <si>
    <t>Golden Champion</t>
  </si>
  <si>
    <t>Golden Cirrus</t>
  </si>
  <si>
    <t>Golden Comfort</t>
  </si>
  <si>
    <t>Golden Competence</t>
  </si>
  <si>
    <t>Golden Confidence</t>
  </si>
  <si>
    <t>Golden Coral</t>
  </si>
  <si>
    <t>Golden Courage</t>
  </si>
  <si>
    <t>Golden Cumulus</t>
  </si>
  <si>
    <t>Golden Duke</t>
  </si>
  <si>
    <t>Golden Earl</t>
  </si>
  <si>
    <t>Golden Emerald</t>
  </si>
  <si>
    <t>Golden Finsbury</t>
  </si>
  <si>
    <t>Golden Fulham</t>
  </si>
  <si>
    <t>Golden Future</t>
  </si>
  <si>
    <t>Golden Gayle</t>
  </si>
  <si>
    <t>Golden Houston</t>
  </si>
  <si>
    <t>Golden Incus</t>
  </si>
  <si>
    <t>Golden Kaki</t>
  </si>
  <si>
    <t>Golden Kathrine</t>
  </si>
  <si>
    <t>Golden Magnum</t>
  </si>
  <si>
    <t>Golden Monterrey</t>
  </si>
  <si>
    <t>Golden Myrtalia</t>
  </si>
  <si>
    <t>Golden Nimbus</t>
  </si>
  <si>
    <t>Golden Saint</t>
  </si>
  <si>
    <t>Golden Sapphire</t>
  </si>
  <si>
    <t>Golden Savannah</t>
  </si>
  <si>
    <t>Golden Scape</t>
  </si>
  <si>
    <t>Golden Skies</t>
  </si>
  <si>
    <t>Golden Spirit</t>
  </si>
  <si>
    <t>Golden Spray</t>
  </si>
  <si>
    <t>Golden Surabaya</t>
  </si>
  <si>
    <t>Golden Swift</t>
  </si>
  <si>
    <t>Golden Walcott</t>
  </si>
  <si>
    <t>Golden Zhejiang</t>
  </si>
  <si>
    <t>Golden Zhoushan</t>
  </si>
  <si>
    <t>KSL China</t>
  </si>
  <si>
    <t>KSL Sakura</t>
  </si>
  <si>
    <t>KSL Salvador</t>
  </si>
  <si>
    <t>KSL San Francisco</t>
  </si>
  <si>
    <t>KSL Santiago</t>
  </si>
  <si>
    <t>KSL Santos</t>
  </si>
  <si>
    <t>KSL Sapporo</t>
  </si>
  <si>
    <t>KSL Seattle</t>
  </si>
  <si>
    <t>KSL Seoul</t>
  </si>
  <si>
    <t>KSL Seville</t>
  </si>
  <si>
    <t>KSL Singapore</t>
  </si>
  <si>
    <t>KSL Stockholm</t>
  </si>
  <si>
    <t>KSL Sydney</t>
  </si>
  <si>
    <t>Golden Amber</t>
  </si>
  <si>
    <t>Golden Arion</t>
  </si>
  <si>
    <t>Golden Brilliant</t>
  </si>
  <si>
    <t>Golden Bull</t>
  </si>
  <si>
    <t>Golden Daisy</t>
  </si>
  <si>
    <t>Golden Deb</t>
  </si>
  <si>
    <t>Golden Diamond</t>
  </si>
  <si>
    <t>Golden Erling</t>
  </si>
  <si>
    <t>Golden Faith</t>
  </si>
  <si>
    <t>Golden Fast</t>
  </si>
  <si>
    <t>Golden Fellow</t>
  </si>
  <si>
    <t>Golden Fortune</t>
  </si>
  <si>
    <t>Golden Forward</t>
  </si>
  <si>
    <t>Golden Freeze</t>
  </si>
  <si>
    <t>Golden Friend</t>
  </si>
  <si>
    <t>Golden Frost</t>
  </si>
  <si>
    <t>Golden Furious</t>
  </si>
  <si>
    <t>Golden Ginger</t>
  </si>
  <si>
    <t>Golden Grace</t>
  </si>
  <si>
    <t>Golden Hope</t>
  </si>
  <si>
    <t>Golden Ioanari</t>
  </si>
  <si>
    <t>Golden Jake</t>
  </si>
  <si>
    <t>Golden John</t>
  </si>
  <si>
    <t>Golden Keen</t>
  </si>
  <si>
    <t>Golden Kennedy</t>
  </si>
  <si>
    <t>Golden Lion</t>
  </si>
  <si>
    <t>Golden Opal</t>
  </si>
  <si>
    <t>Golden Pearl</t>
  </si>
  <si>
    <t>Golden Rose</t>
  </si>
  <si>
    <t>Golden Ruby</t>
  </si>
  <si>
    <t>Golden Soul</t>
  </si>
  <si>
    <t>Golden Star</t>
  </si>
  <si>
    <t>Golden Sue</t>
  </si>
  <si>
    <t>Golden Tide</t>
  </si>
  <si>
    <t>Golden Wave</t>
  </si>
  <si>
    <t>Amortizacion of unfavorable contracts</t>
  </si>
  <si>
    <t>Net income/loss attributable to the non-controlling interest</t>
  </si>
  <si>
    <t>Non-Controlling Interest</t>
  </si>
  <si>
    <t>Non-controlling Interest</t>
  </si>
  <si>
    <t>Contributions made by non-controlling shareholders</t>
  </si>
  <si>
    <t>Net Asset Value</t>
  </si>
  <si>
    <t>Fleet Value</t>
  </si>
  <si>
    <t>+ Cash</t>
  </si>
  <si>
    <t>+ Payments on newbuildings</t>
  </si>
  <si>
    <t>+/- Working Capital</t>
  </si>
  <si>
    <t>- Debt</t>
  </si>
  <si>
    <t>Scrubber Valuation</t>
  </si>
  <si>
    <t>Net Assets</t>
  </si>
  <si>
    <t>Shares Outstanding</t>
  </si>
  <si>
    <t>Net Asset Value $/sh</t>
  </si>
  <si>
    <t>Change in %</t>
  </si>
  <si>
    <t>Minority Interest</t>
  </si>
  <si>
    <t>Current Market Cap</t>
  </si>
  <si>
    <t>Income Estimates</t>
  </si>
  <si>
    <t>Fleet Utilization</t>
  </si>
  <si>
    <t>OpEx</t>
  </si>
  <si>
    <t>Coef3</t>
  </si>
  <si>
    <t>Coef2</t>
  </si>
  <si>
    <t>Coef1</t>
  </si>
  <si>
    <t>Coef0</t>
  </si>
  <si>
    <t>Used</t>
  </si>
  <si>
    <t>X3</t>
  </si>
  <si>
    <t>X2</t>
  </si>
  <si>
    <t>X1</t>
  </si>
  <si>
    <t>X0</t>
  </si>
  <si>
    <t>Total Value</t>
  </si>
  <si>
    <t>Bunker Fuel Consumption (50% laden / 50% ballast)</t>
  </si>
  <si>
    <t>Sailing Days VLCC</t>
  </si>
  <si>
    <t>Sailing Days Suezmax</t>
  </si>
  <si>
    <t>Korean/Japanese Eco + Scrubber VLCC</t>
  </si>
  <si>
    <t>tons/day</t>
  </si>
  <si>
    <t>Korean/Japanese Non-Eco, Non-Scrubber VLCC</t>
  </si>
  <si>
    <t>Korean/Japanese Non-Eco, Non-Scrubber Suezmax</t>
  </si>
  <si>
    <t>Incremental for Scrubber VLCC</t>
  </si>
  <si>
    <t>Incremental for Scrubber Suezmax</t>
  </si>
  <si>
    <t>Bunker Fuel Prices</t>
  </si>
  <si>
    <t>High Sulphur Fuel Oil (HSFO), Singapore</t>
  </si>
  <si>
    <t>$/ton</t>
  </si>
  <si>
    <t>https://www.cmegroup.com/markets/energy/refined-products/singapore-380cst-fuel-oil-platts-swap-futures.html</t>
  </si>
  <si>
    <t>Very Low Sulphur Fuel Oil (VLSFO), Singapore</t>
  </si>
  <si>
    <t>https://www.cmegroup.com/markets/energy/refined-products/singapore-fob-marine-fuel-05-platts.html</t>
  </si>
  <si>
    <t>Eco Savings</t>
  </si>
  <si>
    <t>Eco Daily Savings VLCC</t>
  </si>
  <si>
    <t>$/d</t>
  </si>
  <si>
    <t>Eco Daily Savings Suezmax</t>
  </si>
  <si>
    <t>Scrubber Savings</t>
  </si>
  <si>
    <t>Scrubber + Eco Savings</t>
  </si>
  <si>
    <t>Fleet</t>
  </si>
  <si>
    <t>Estimates</t>
  </si>
  <si>
    <t>Utilization rate</t>
  </si>
  <si>
    <t>%</t>
  </si>
  <si>
    <t>Days</t>
  </si>
  <si>
    <t>Income</t>
  </si>
  <si>
    <t>Age Q4-23</t>
  </si>
  <si>
    <t>Age Q4-24</t>
  </si>
  <si>
    <t>Value Q4-23</t>
  </si>
  <si>
    <t>Value Q4-24</t>
  </si>
  <si>
    <t>Q3-2023</t>
  </si>
  <si>
    <t>Vessel Opex</t>
  </si>
  <si>
    <t>Interest Expense</t>
  </si>
  <si>
    <t>Drydocking Expense</t>
  </si>
  <si>
    <t>Loan repayments</t>
  </si>
  <si>
    <t>Interests</t>
  </si>
  <si>
    <t>Share based compensation</t>
  </si>
  <si>
    <t>Write off deferred loan costs</t>
  </si>
  <si>
    <t>Decrease (increase) in trade receivables</t>
  </si>
  <si>
    <t>Decrease (increase) in accrued revenues</t>
  </si>
  <si>
    <t>Increase (decrease) in accounts payable</t>
  </si>
  <si>
    <t>Change in other current items related to operating  activities</t>
  </si>
  <si>
    <t>Change in other long-term items related to operating activities</t>
  </si>
  <si>
    <t>Drydocking</t>
  </si>
  <si>
    <t>Short term loan</t>
  </si>
  <si>
    <t>Proceeds from issuance of long-term debt</t>
  </si>
  <si>
    <t>Dividends paid / cash distributions</t>
  </si>
  <si>
    <t>Net proceeds from share issuances</t>
  </si>
  <si>
    <t xml:space="preserve">Vessels </t>
  </si>
  <si>
    <t>Other Long-term Assets</t>
  </si>
  <si>
    <t>Accrued revenues</t>
  </si>
  <si>
    <t>Other Current Assets</t>
  </si>
  <si>
    <t>Declared cash distributions</t>
  </si>
  <si>
    <t>Other long-term liabilities</t>
  </si>
  <si>
    <t>Bulk Santos</t>
  </si>
  <si>
    <t>Bulk Sao Paulo</t>
  </si>
  <si>
    <t>Bulk Shenzhen</t>
  </si>
  <si>
    <t>Bulk Sydney</t>
  </si>
  <si>
    <t>Bulk Seoul</t>
  </si>
  <si>
    <t>Bulk Shanghai</t>
  </si>
  <si>
    <t>Bulk Sandefjord</t>
  </si>
  <si>
    <t>Bulk Santiago</t>
  </si>
  <si>
    <t>Newcastlemax</t>
  </si>
  <si>
    <t>Vendido May 1 2024</t>
  </si>
  <si>
    <t>Scrubber Premium</t>
  </si>
  <si>
    <t>Newscastlemax Eco</t>
  </si>
  <si>
    <t>Enero 2024</t>
  </si>
  <si>
    <t>TCE</t>
  </si>
  <si>
    <t>Index</t>
  </si>
  <si>
    <t>Fixed</t>
  </si>
  <si>
    <t>Scrubber - Index</t>
  </si>
  <si>
    <t>Dividend</t>
  </si>
  <si>
    <t>Febrero 2024</t>
  </si>
  <si>
    <t>Cape Index</t>
  </si>
  <si>
    <t>Marzo 2024</t>
  </si>
  <si>
    <t>Premium</t>
  </si>
  <si>
    <t xml:space="preserve"> </t>
  </si>
  <si>
    <t>Revenue Hafnia vessels and TC</t>
  </si>
  <si>
    <t>Revenue External in DOP pools</t>
  </si>
  <si>
    <t>Other operating income</t>
  </si>
  <si>
    <t>Voyage expenses (hafnia)    (inc TCE)</t>
  </si>
  <si>
    <t>Voyage expenses (external DOP)  (inc TCE)</t>
  </si>
  <si>
    <t>Pool distribution for external vessels</t>
  </si>
  <si>
    <t>Vessel operating expenses</t>
  </si>
  <si>
    <t>Technical managmet expenses+other expenses</t>
  </si>
  <si>
    <t>Gain on disposal of assets</t>
  </si>
  <si>
    <t>Capitalized financint fees written off</t>
  </si>
  <si>
    <t>Other finance expense</t>
  </si>
  <si>
    <t>Share of profit of equity-accounted investees, net of tax</t>
  </si>
  <si>
    <t>Income tax expenses</t>
  </si>
  <si>
    <t>gain/loss disposal assets</t>
  </si>
  <si>
    <t>interst income</t>
  </si>
  <si>
    <t>finance expense</t>
  </si>
  <si>
    <t>share of profit of equity-accounted investees, net of tax</t>
  </si>
  <si>
    <t>equity_settled share bases patment transactions</t>
  </si>
  <si>
    <t>Changes in net working capital:</t>
  </si>
  <si>
    <t>trade and other recievables</t>
  </si>
  <si>
    <t>trade and other payables</t>
  </si>
  <si>
    <t>Income tax paid</t>
  </si>
  <si>
    <t>Interest income recieved</t>
  </si>
  <si>
    <t>Loan to joint ventures</t>
  </si>
  <si>
    <t>Aquisiitos of assets net of cash acquired</t>
  </si>
  <si>
    <t>Acquisition of other invesments</t>
  </si>
  <si>
    <t>Equity investment in joint venture</t>
  </si>
  <si>
    <t>Purchase of intangible assets</t>
  </si>
  <si>
    <t>Proceeds from disposal of PP&amp;E</t>
  </si>
  <si>
    <t>Proceeds from disposal of assets</t>
  </si>
  <si>
    <t>Repayment of loan by joint venture company</t>
  </si>
  <si>
    <t>Dividend recieved from joint ventre</t>
  </si>
  <si>
    <t>Dividend recieved from associated company</t>
  </si>
  <si>
    <t>Proceeds from borrowings from external financial institutions</t>
  </si>
  <si>
    <t>Proceeds from borrowings from a related corporation</t>
  </si>
  <si>
    <t>Repayment of borrowings to external financial insitutions</t>
  </si>
  <si>
    <t>Repayment of borrowings to a related corporation</t>
  </si>
  <si>
    <t>Repayment of borrowings to non-related parties</t>
  </si>
  <si>
    <t>Repayment of lease liabilites</t>
  </si>
  <si>
    <t>Payment of financig fees</t>
  </si>
  <si>
    <t>Interest paid to external financial instutions</t>
  </si>
  <si>
    <t>Interest paid to a third party</t>
  </si>
  <si>
    <t>Proceeds from exercise of employee share options</t>
  </si>
  <si>
    <t>Proceeds from equity raise</t>
  </si>
  <si>
    <t>Payment of equity raise costs</t>
  </si>
  <si>
    <t>Other finance expense paid</t>
  </si>
  <si>
    <t>Vessels</t>
  </si>
  <si>
    <t>Dry docking and scrubbers</t>
  </si>
  <si>
    <t>Right of use assets velsse</t>
  </si>
  <si>
    <t>Other PPE</t>
  </si>
  <si>
    <t>Intangible assets</t>
  </si>
  <si>
    <t>Other investments</t>
  </si>
  <si>
    <t>Deferred tax assets</t>
  </si>
  <si>
    <t>Loans and recievable from joint venture</t>
  </si>
  <si>
    <t>Associated companies and joint ventures</t>
  </si>
  <si>
    <t>Trade and other recivables</t>
  </si>
  <si>
    <t>Derivaite financial instruments</t>
  </si>
  <si>
    <t>Cash retained in the commercial pools</t>
  </si>
  <si>
    <t>Borrowings</t>
  </si>
  <si>
    <t>Derivative financl instruments</t>
  </si>
  <si>
    <t>Current income tax liabilities</t>
  </si>
  <si>
    <t>Trade and other payables</t>
  </si>
  <si>
    <t>Implied Interest Rate over Gross Debt</t>
  </si>
  <si>
    <t>Hafnia Lillesand</t>
  </si>
  <si>
    <t>Hafnia Larvik</t>
  </si>
  <si>
    <t>Hafnia Galatea</t>
  </si>
  <si>
    <t>Hafnia Thalassa</t>
  </si>
  <si>
    <t>BW Neso</t>
  </si>
  <si>
    <t>Hafnia Triton</t>
  </si>
  <si>
    <t>Hafnia Larissa</t>
  </si>
  <si>
    <t>Hafnia Languedoc</t>
  </si>
  <si>
    <t>Hafnia Loire</t>
  </si>
  <si>
    <t>Hafnia Despina</t>
  </si>
  <si>
    <t>Hafnia Thames</t>
  </si>
  <si>
    <t>Hafnia Pioneer</t>
  </si>
  <si>
    <t>Hafnia Hong Kong</t>
  </si>
  <si>
    <t>Hafnia Guangzhou</t>
  </si>
  <si>
    <t>Hafnia Beijing</t>
  </si>
  <si>
    <t>Hafnia Shanghai</t>
  </si>
  <si>
    <t>Hafnia Shenzhen</t>
  </si>
  <si>
    <t>Hafnia Nanjing</t>
  </si>
  <si>
    <t>Hafnia Shinano</t>
  </si>
  <si>
    <t>Hafnia Seine</t>
  </si>
  <si>
    <t>Hafnia Pride</t>
  </si>
  <si>
    <t>Hafnia Yangtze</t>
  </si>
  <si>
    <t>Hafnia Providence</t>
  </si>
  <si>
    <t>Hafnia Prestige</t>
  </si>
  <si>
    <t>Hafnia Precision</t>
  </si>
  <si>
    <t>Hafnia Zambesi</t>
  </si>
  <si>
    <t>Hafnia Experience</t>
  </si>
  <si>
    <t>Hafnia Excelsior</t>
  </si>
  <si>
    <t>Hafnia Exceed</t>
  </si>
  <si>
    <t>Hafnia Express</t>
  </si>
  <si>
    <t>Hafnia Expedite</t>
  </si>
  <si>
    <t>Hafnia Excellence</t>
  </si>
  <si>
    <t>Hafnia Excel</t>
  </si>
  <si>
    <t>Hafnia Australia</t>
  </si>
  <si>
    <t>Hafnia Africa</t>
  </si>
  <si>
    <t>Hafnia Asia</t>
  </si>
  <si>
    <t>Hafnia Yarra</t>
  </si>
  <si>
    <t>Hafnia Kallang</t>
  </si>
  <si>
    <t>Hafnia Nile</t>
  </si>
  <si>
    <t>Hafnia Tagus</t>
  </si>
  <si>
    <t>Hafnia Executive</t>
  </si>
  <si>
    <t>Hafnia Raven</t>
  </si>
  <si>
    <t>Hafnia Cougar</t>
  </si>
  <si>
    <t>Hafnia Lioness</t>
  </si>
  <si>
    <t>BW Merlin</t>
  </si>
  <si>
    <t>BW Osprey</t>
  </si>
  <si>
    <t>Hafnia Andrea</t>
  </si>
  <si>
    <t>Hafnia Petrel</t>
  </si>
  <si>
    <t>Hafnia Caterina</t>
  </si>
  <si>
    <t>BW Bobcat</t>
  </si>
  <si>
    <t>Hafnia Lotte</t>
  </si>
  <si>
    <t>Hafnia Swift</t>
  </si>
  <si>
    <t>Hafnia Mikala</t>
  </si>
  <si>
    <t>Hafnia Myna</t>
  </si>
  <si>
    <t>Hafnia Ane</t>
  </si>
  <si>
    <t>Hafnia Daisy</t>
  </si>
  <si>
    <t>Hafnia Panther</t>
  </si>
  <si>
    <t>BW Wren</t>
  </si>
  <si>
    <t>Hafnia Eagle</t>
  </si>
  <si>
    <t>Hafnia Cheetah</t>
  </si>
  <si>
    <t>Hafnia Lupus</t>
  </si>
  <si>
    <t>PS Stars</t>
  </si>
  <si>
    <t>Yellow Stars</t>
  </si>
  <si>
    <t>Hafnia Leopard</t>
  </si>
  <si>
    <t>Hafnia Andromeda</t>
  </si>
  <si>
    <t>Hafnia Taurus</t>
  </si>
  <si>
    <t>Hafnia Pegasus</t>
  </si>
  <si>
    <t>Hafnia Crux</t>
  </si>
  <si>
    <t>Hafnia Puma</t>
  </si>
  <si>
    <t>Hafnia Lynx</t>
  </si>
  <si>
    <t>Hafnia Libra</t>
  </si>
  <si>
    <t>BW Kestrel</t>
  </si>
  <si>
    <t>Hafnia Hawk</t>
  </si>
  <si>
    <t>BW Egret</t>
  </si>
  <si>
    <t>Hafnia Lene</t>
  </si>
  <si>
    <t>Hafnia Henriette</t>
  </si>
  <si>
    <t>Hafnia Leo</t>
  </si>
  <si>
    <t>Hafnia Nordica</t>
  </si>
  <si>
    <t>Hafnia Lise</t>
  </si>
  <si>
    <t>Hafnia Pacific</t>
  </si>
  <si>
    <t>Hafnia Topaz</t>
  </si>
  <si>
    <t>Hafnia Turquoise</t>
  </si>
  <si>
    <t>Hafnia Tourmaline</t>
  </si>
  <si>
    <t>Hafnia Tanzanite</t>
  </si>
  <si>
    <t>Hafnia Violette</t>
  </si>
  <si>
    <t>Hafnia Viridian</t>
  </si>
  <si>
    <t>Hafnia Valentino</t>
  </si>
  <si>
    <t>Hafnia Jaguar</t>
  </si>
  <si>
    <t>Hafnia Tiger</t>
  </si>
  <si>
    <t>Hafnia Phoenix</t>
  </si>
  <si>
    <t>Hafnia Kirsten</t>
  </si>
  <si>
    <t>Hafnia Atlantic</t>
  </si>
  <si>
    <t>CHEMICALS</t>
  </si>
  <si>
    <t>HANDYsize</t>
  </si>
  <si>
    <t>Hafnia Malacca</t>
  </si>
  <si>
    <t>Hafnia Sunda</t>
  </si>
  <si>
    <t>Hafnia Bering</t>
  </si>
  <si>
    <t>Hafnia Torres</t>
  </si>
  <si>
    <t>Hafnia Soya</t>
  </si>
  <si>
    <t>Hafnia Magellan</t>
  </si>
  <si>
    <t>Hafnia Aventurine</t>
  </si>
  <si>
    <t>Hafnia Azotic</t>
  </si>
  <si>
    <t>Hafnia Amazonite</t>
  </si>
  <si>
    <t>Hafnia Achroite</t>
  </si>
  <si>
    <t>Hafnia Alabaster</t>
  </si>
  <si>
    <t>Hafnia Azurite</t>
  </si>
  <si>
    <t>Hafnia Aragonite</t>
  </si>
  <si>
    <t>Hafnia Adamite</t>
  </si>
  <si>
    <t>Hafnia Ammolite</t>
  </si>
  <si>
    <t>Hafnia Axinite</t>
  </si>
  <si>
    <t>Hafnia Amessi</t>
  </si>
  <si>
    <t>Hafnia Ametrine</t>
  </si>
  <si>
    <t>Hafnia Amethyst</t>
  </si>
  <si>
    <t>Hafnia Almandine</t>
  </si>
  <si>
    <t>Hafnia Amber</t>
  </si>
  <si>
    <t>Hafnia Aquamarine</t>
  </si>
  <si>
    <t>Hafnia Aronaldo</t>
  </si>
  <si>
    <t>Hafnia Andesine</t>
  </si>
  <si>
    <t>BW Falcon</t>
  </si>
  <si>
    <t>PANAMAX</t>
  </si>
  <si>
    <t>Nordmarlin</t>
  </si>
  <si>
    <t>Operated</t>
  </si>
  <si>
    <t>Norddolphin</t>
  </si>
  <si>
    <t>Seaways Shenandoah</t>
  </si>
  <si>
    <t>Jag Lara</t>
  </si>
  <si>
    <t>Avra Patros</t>
  </si>
  <si>
    <t>Chemtrans Ionian</t>
  </si>
  <si>
    <t>Pelagic Tope</t>
  </si>
  <si>
    <t>Jag Aparna</t>
  </si>
  <si>
    <t>Bluebird</t>
  </si>
  <si>
    <t>Starling</t>
  </si>
  <si>
    <t>Chemtrans Arctic</t>
  </si>
  <si>
    <t>Two Million Ways</t>
  </si>
  <si>
    <t>Chemtrans Baltic</t>
  </si>
  <si>
    <t>Estia</t>
  </si>
  <si>
    <t>Pelagic Turbot</t>
  </si>
  <si>
    <t>Star Merlin</t>
  </si>
  <si>
    <t>OKEE Ulf</t>
  </si>
  <si>
    <t>Bantry Bay</t>
  </si>
  <si>
    <t>Ionian Star</t>
  </si>
  <si>
    <t>Kouros</t>
  </si>
  <si>
    <t>Oinoussian Star</t>
  </si>
  <si>
    <t>Chios Star</t>
  </si>
  <si>
    <t>Lysias</t>
  </si>
  <si>
    <t>Rich Rainbow</t>
  </si>
  <si>
    <t>MP MR Tanker 1</t>
  </si>
  <si>
    <t>MP MR Tanker 2</t>
  </si>
  <si>
    <t>Jag Punit</t>
  </si>
  <si>
    <t>Angel Star</t>
  </si>
  <si>
    <t>Jag Pooja</t>
  </si>
  <si>
    <t>MP MR Tanker 3</t>
  </si>
  <si>
    <t>Jag Pushpa</t>
  </si>
  <si>
    <t>Jag Prakash</t>
  </si>
  <si>
    <t>Jag Prerana</t>
  </si>
  <si>
    <t>Aldabra</t>
  </si>
  <si>
    <t>Centennial Matsuyama</t>
  </si>
  <si>
    <t>Jag Parth</t>
  </si>
  <si>
    <t>Alpine Marina</t>
  </si>
  <si>
    <t>Coetivy</t>
  </si>
  <si>
    <t>Aegean Star</t>
  </si>
  <si>
    <t>Kardiani</t>
  </si>
  <si>
    <t>OKEE John T</t>
  </si>
  <si>
    <t>Alcyone T</t>
  </si>
  <si>
    <t>Prelude</t>
  </si>
  <si>
    <t>HANDY</t>
  </si>
  <si>
    <t>Anael</t>
  </si>
  <si>
    <t>VS Lisbeth</t>
  </si>
  <si>
    <t>VS Leia</t>
  </si>
  <si>
    <t>Chemway Arrow</t>
  </si>
  <si>
    <t>Trf Marquette</t>
  </si>
  <si>
    <t>Trf Mandal</t>
  </si>
  <si>
    <t>Trf Moss</t>
  </si>
  <si>
    <t>Trf Memphis</t>
  </si>
  <si>
    <t>Trf Mobile</t>
  </si>
  <si>
    <t>Trf Mongstad</t>
  </si>
  <si>
    <t>VS Glory</t>
  </si>
  <si>
    <t>VS Spirit</t>
  </si>
  <si>
    <t>VS Remlin</t>
  </si>
  <si>
    <t>Mississippi Star</t>
  </si>
  <si>
    <t>SPECIALIZED</t>
  </si>
  <si>
    <t>Shannon Star</t>
  </si>
  <si>
    <t>Pechora Star</t>
  </si>
  <si>
    <t>Colorado Star</t>
  </si>
  <si>
    <t>Amur Star</t>
  </si>
  <si>
    <t>Ganges Star</t>
  </si>
  <si>
    <t>Kongo Star</t>
  </si>
  <si>
    <t>Murray Star</t>
  </si>
  <si>
    <t>Lacanau</t>
  </si>
  <si>
    <t>Lascaux</t>
  </si>
  <si>
    <t>Lamentin</t>
  </si>
  <si>
    <t>VS Lara</t>
  </si>
  <si>
    <t>VS Salma</t>
  </si>
  <si>
    <t>Sunda</t>
  </si>
  <si>
    <t>TC In</t>
  </si>
  <si>
    <t>Karimata</t>
  </si>
  <si>
    <t>Peace Victoria</t>
  </si>
  <si>
    <t>Kamome Victoria</t>
  </si>
  <si>
    <t>Clearocean Milano</t>
  </si>
  <si>
    <t>Clearocean Ginkgo</t>
  </si>
  <si>
    <t>Orient Innovation</t>
  </si>
  <si>
    <t>Orient Challenge</t>
  </si>
  <si>
    <t>Basset</t>
  </si>
  <si>
    <t>Bulldog</t>
  </si>
  <si>
    <t>Boxer</t>
  </si>
  <si>
    <t>Beagle</t>
  </si>
  <si>
    <t>Dee4 Larch</t>
  </si>
  <si>
    <t>Challenge Procyon</t>
  </si>
  <si>
    <t>SUM ONLY OWNED</t>
  </si>
  <si>
    <t>USED</t>
  </si>
  <si>
    <t># Vessels TOTAL  (left)    / # Vessels Operated (right)</t>
  </si>
  <si>
    <t>Q1-2023</t>
  </si>
  <si>
    <t>TC-in fleet value</t>
  </si>
  <si>
    <t>Joint ventures</t>
  </si>
  <si>
    <t>Dividend payout (80% if LTV &lt;30 )</t>
  </si>
  <si>
    <t>LTV</t>
  </si>
  <si>
    <t>Eco premium</t>
  </si>
  <si>
    <t>As per 23/05/2023</t>
  </si>
  <si>
    <t>Korean/Japanese Eco, Non-Scrubber Suezmax</t>
  </si>
  <si>
    <t>Actual Scrubber Savings</t>
  </si>
  <si>
    <t>Eco Daily Savings LR2</t>
  </si>
  <si>
    <t>Eco Daily Savings LR1</t>
  </si>
  <si>
    <t>Eco Daily Savings MR</t>
  </si>
  <si>
    <t>Eco Daily Savings Handysize</t>
  </si>
  <si>
    <t>Handy</t>
  </si>
  <si>
    <t>Q3</t>
  </si>
  <si>
    <t>Q4</t>
  </si>
  <si>
    <t>Q2 (mix)</t>
  </si>
  <si>
    <t>Cash at bank and on hand</t>
  </si>
  <si>
    <t>Calls TC-in vessels</t>
  </si>
  <si>
    <t>Avg. 2024</t>
  </si>
  <si>
    <t>size/VLCC</t>
  </si>
  <si>
    <t>% Ownership</t>
  </si>
  <si>
    <t>Reported</t>
  </si>
  <si>
    <t>Difference</t>
  </si>
  <si>
    <t>VLCC Scrubber Savings</t>
  </si>
  <si>
    <t>Suezmax Scrubber Savings</t>
  </si>
  <si>
    <t>LR2 Covered %</t>
  </si>
  <si>
    <t>LR1 Covered %</t>
  </si>
  <si>
    <t>MR  Covered %</t>
  </si>
  <si>
    <t>Handy  Covered %</t>
  </si>
  <si>
    <t>LR2 utilization rate</t>
  </si>
  <si>
    <t>LR1 utilization rate</t>
  </si>
  <si>
    <t>MR utilization rate</t>
  </si>
  <si>
    <t>Handy utilization rate</t>
  </si>
  <si>
    <t>LR2 Covered rate</t>
  </si>
  <si>
    <t>LR1 Covered rate</t>
  </si>
  <si>
    <t>MR  Covered rate</t>
  </si>
  <si>
    <t>Handy  Covered rate</t>
  </si>
  <si>
    <t>Check Revenue External - Pool expenses - Pool distributions</t>
  </si>
  <si>
    <t>Share Price</t>
  </si>
  <si>
    <t>NAV/share (USD)</t>
  </si>
  <si>
    <t>LR2 value curve</t>
  </si>
  <si>
    <t>Wrong Fit!!</t>
  </si>
  <si>
    <t>Q1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</si>
</sst>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0;\(#,##0\);&quot;-&quot;"/>
    <numFmt numFmtId="165" formatCode="0.0%"/>
    <numFmt numFmtId="166" formatCode="#,##0.0;\(#,##0.0\);&quot;-&quot;"/>
    <numFmt numFmtId="167" formatCode="#,##0.00;\(#,##0.00\);&quot;-&quot;"/>
    <numFmt numFmtId="168" formatCode="#,##0.0_);\(#,##0.0\)"/>
    <numFmt numFmtId="169" formatCode="#,##0.0_);\(#,##0.0\);&quot;-&quot;_);@_)"/>
    <numFmt numFmtId="170" formatCode="#,##0.00_);\(#,##0.00\);&quot;-&quot;_);@_)"/>
    <numFmt numFmtId="171" formatCode="#,##0.0%_);\(#,##0.0%\);0.0%_);@_)"/>
    <numFmt numFmtId="172" formatCode="0_);\(0\)"/>
    <numFmt numFmtId="173" formatCode="#,##0.000_);\(#,##0.000\);&quot;-&quot;_);@_)"/>
    <numFmt numFmtId="174" formatCode="_([$$-409]* #,##0.00_);_([$$-409]* \(#,##0.00\);_([$$-409]* &quot;-&quot;??_);_(@_)"/>
    <numFmt numFmtId="175" formatCode="#,##0.0000;\(#,##0.0000\);&quot;-&quot;"/>
    <numFmt numFmtId="176" formatCode="#,##0.0000000000000000000"/>
    <numFmt numFmtId="177" formatCode="0.00_);\(0.00\)"/>
    <numFmt numFmtId="178" formatCode="_-* #,##0_-;\-* #,##0_-;_-* &quot;-&quot;??_-;_-@_-"/>
    <numFmt numFmtId="179" formatCode="#,##0.00\x;\(#,##0.00\x\);&quot;-&quot;"/>
    <numFmt numFmtId="180" formatCode="#,##0_);\(#,##0\);#,##0_);@_)"/>
    <numFmt numFmtId="181" formatCode="#,##0_);\(#,##0\);&quot;-&quot;_);@_)"/>
    <numFmt numFmtId="182" formatCode="#,##0.000"/>
    <numFmt numFmtId="183" formatCode="#,##0.0"/>
    <numFmt numFmtId="184" formatCode="0.0"/>
    <numFmt numFmtId="185" formatCode="#,##0.0000000;\(#,##0.0000000\);&quot;-&quot;"/>
  </numFmts>
  <fonts count="31" x14ac:knownFonts="1">
    <font>
      <sz val="11"/>
      <color theme="1"/>
      <name val="Calibri"/>
      <family val="2"/>
      <scheme val="minor"/>
    </font>
    <font>
      <sz val="11"/>
      <color theme="1"/>
      <name val="Calibri"/>
      <family val="2"/>
      <scheme val="minor"/>
    </font>
    <font>
      <sz val="10"/>
      <color theme="1"/>
      <name val="Arial Narrow"/>
      <family val="2"/>
    </font>
    <font>
      <b/>
      <sz val="10"/>
      <color theme="0"/>
      <name val="Arial Narrow"/>
      <family val="2"/>
    </font>
    <font>
      <b/>
      <sz val="10"/>
      <name val="Arial Narrow"/>
      <family val="2"/>
    </font>
    <font>
      <sz val="10"/>
      <color rgb="FF00B050"/>
      <name val="Arial Narrow"/>
      <family val="2"/>
    </font>
    <font>
      <sz val="10"/>
      <color rgb="FF0000FF"/>
      <name val="Arial Narrow"/>
      <family val="2"/>
    </font>
    <font>
      <b/>
      <sz val="10"/>
      <color theme="1"/>
      <name val="Arial Narrow"/>
      <family val="2"/>
    </font>
    <font>
      <sz val="10"/>
      <name val="Arial Narrow"/>
      <family val="2"/>
    </font>
    <font>
      <b/>
      <sz val="10"/>
      <color theme="0"/>
      <name val="Calibri"/>
      <family val="2"/>
      <scheme val="minor"/>
    </font>
    <font>
      <b/>
      <sz val="10"/>
      <name val="Calibri"/>
      <family val="2"/>
      <scheme val="minor"/>
    </font>
    <font>
      <b/>
      <sz val="10"/>
      <color rgb="FF0000FF"/>
      <name val="Arial Narrow"/>
      <family val="2"/>
    </font>
    <font>
      <sz val="10"/>
      <name val="Calibri"/>
      <family val="2"/>
    </font>
    <font>
      <sz val="10"/>
      <color rgb="FF000000"/>
      <name val="Arial Narrow"/>
      <family val="2"/>
    </font>
    <font>
      <u/>
      <sz val="11"/>
      <color theme="10"/>
      <name val="Calibri"/>
      <family val="2"/>
      <scheme val="minor"/>
    </font>
    <font>
      <sz val="9"/>
      <color theme="1"/>
      <name val="Arial"/>
      <family val="2"/>
    </font>
    <font>
      <b/>
      <sz val="9"/>
      <color theme="0"/>
      <name val="Arial"/>
      <family val="2"/>
    </font>
    <font>
      <i/>
      <sz val="9"/>
      <color theme="1"/>
      <name val="Arial"/>
      <family val="2"/>
    </font>
    <font>
      <i/>
      <sz val="9"/>
      <color rgb="FF0000FF"/>
      <name val="Arial"/>
      <family val="2"/>
    </font>
    <font>
      <i/>
      <sz val="9"/>
      <name val="Arial"/>
      <family val="2"/>
    </font>
    <font>
      <sz val="9"/>
      <name val="Arial"/>
      <family val="2"/>
    </font>
    <font>
      <sz val="11"/>
      <color theme="1"/>
      <name val="Calibri"/>
      <family val="2"/>
      <charset val="204"/>
      <scheme val="minor"/>
    </font>
    <font>
      <b/>
      <sz val="9"/>
      <color rgb="FF002060"/>
      <name val="Arial"/>
      <family val="2"/>
      <charset val="204"/>
    </font>
    <font>
      <sz val="10"/>
      <color rgb="FF00B050"/>
      <name val="Calibri"/>
      <family val="2"/>
    </font>
    <font>
      <sz val="10"/>
      <color rgb="FFFF0000"/>
      <name val="Arial Narrow"/>
      <family val="2"/>
    </font>
    <font>
      <sz val="12"/>
      <name val="Times New Roman"/>
      <family val="1"/>
    </font>
    <font>
      <sz val="9"/>
      <name val="Times New Roman"/>
      <family val="1"/>
    </font>
    <font>
      <sz val="9"/>
      <color indexed="81"/>
      <name val="Tahoma"/>
      <charset val="1"/>
    </font>
    <font>
      <b/>
      <sz val="9"/>
      <color indexed="81"/>
      <name val="Tahoma"/>
      <charset val="1"/>
    </font>
    <font>
      <i/>
      <sz val="9"/>
      <color rgb="FF00B050"/>
      <name val="Arial"/>
      <family val="2"/>
    </font>
    <font>
      <b/>
      <sz val="8"/>
      <color theme="1"/>
      <name val="Arial"/>
      <family val="2"/>
    </font>
  </fonts>
  <fills count="14">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2" tint="-0.749961851863155"/>
        <bgColor indexed="64"/>
      </patternFill>
    </fill>
    <fill>
      <patternFill patternType="solid">
        <fgColor theme="6"/>
        <bgColor indexed="64"/>
      </patternFill>
    </fill>
    <fill>
      <patternFill patternType="solid">
        <fgColor theme="0" tint="-4.9989318521683403E-2"/>
        <bgColor indexed="64"/>
      </patternFill>
    </fill>
    <fill>
      <patternFill patternType="solid">
        <fgColor theme="1"/>
        <bgColor indexed="64"/>
      </patternFill>
    </fill>
    <fill>
      <patternFill patternType="solid">
        <fgColor rgb="FFFF0000"/>
        <bgColor indexed="64"/>
      </patternFill>
    </fill>
    <fill>
      <patternFill patternType="solid">
        <fgColor theme="8"/>
        <bgColor indexed="64"/>
      </patternFill>
    </fill>
    <fill>
      <patternFill patternType="solid">
        <fgColor rgb="FF002060"/>
        <bgColor indexed="64"/>
      </patternFill>
    </fill>
    <fill>
      <patternFill patternType="solid">
        <fgColor rgb="FFFFFFFF"/>
        <bgColor indexed="64"/>
      </patternFill>
    </fill>
    <fill>
      <patternFill patternType="solid">
        <fgColor theme="7"/>
        <bgColor indexed="64"/>
      </patternFill>
    </fill>
    <fill>
      <patternFill patternType="solid">
        <fgColor rgb="FFFFFF00"/>
        <bgColor indexed="64"/>
      </patternFill>
    </fill>
  </fills>
  <borders count="29">
    <border>
      <left/>
      <right/>
      <top/>
      <bottom/>
      <diagonal/>
    </border>
    <border>
      <left/>
      <right/>
      <top/>
      <bottom style="thin">
        <color indexed="64"/>
      </bottom>
      <diagonal/>
    </border>
    <border>
      <left/>
      <right style="medium">
        <color theme="0"/>
      </right>
      <top/>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style="medium">
        <color theme="0"/>
      </right>
      <top style="medium">
        <color theme="0"/>
      </top>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rgb="FF002060"/>
      </bottom>
      <diagonal/>
    </border>
    <border>
      <left/>
      <right/>
      <top style="medium">
        <color rgb="FF002060"/>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8">
    <xf numFmtId="0" fontId="0" fillId="0" borderId="0"/>
    <xf numFmtId="9" fontId="1" fillId="0" borderId="0" applyFont="0" applyFill="0" applyBorder="0" applyAlignment="0" applyProtection="0"/>
    <xf numFmtId="168" fontId="9" fillId="4" borderId="0" applyNumberFormat="0" applyBorder="0" applyProtection="0">
      <alignment horizontal="centerContinuous" vertical="center"/>
    </xf>
    <xf numFmtId="168" fontId="10" fillId="5" borderId="0" applyBorder="0" applyProtection="0">
      <alignment horizontal="centerContinuous" vertical="center"/>
    </xf>
    <xf numFmtId="43" fontId="1" fillId="0" borderId="0" applyFont="0" applyFill="0" applyBorder="0" applyAlignment="0" applyProtection="0"/>
    <xf numFmtId="0" fontId="14" fillId="0" borderId="0" applyNumberFormat="0" applyFill="0" applyBorder="0" applyAlignment="0" applyProtection="0"/>
    <xf numFmtId="0" fontId="21" fillId="0" borderId="0"/>
    <xf numFmtId="0" fontId="22" fillId="3" borderId="24">
      <alignment horizontal="right"/>
    </xf>
  </cellStyleXfs>
  <cellXfs count="239">
    <xf numFmtId="0" fontId="0" fillId="0" borderId="0" xfId="0"/>
    <xf numFmtId="164" fontId="2" fillId="0" borderId="0" xfId="0" applyNumberFormat="1" applyFont="1" applyAlignment="1">
      <alignment horizontal="right" vertical="center"/>
    </xf>
    <xf numFmtId="164" fontId="2" fillId="0" borderId="0" xfId="0" applyNumberFormat="1" applyFont="1" applyAlignment="1">
      <alignment horizontal="left" vertical="center"/>
    </xf>
    <xf numFmtId="165" fontId="2" fillId="0" borderId="0" xfId="1" applyNumberFormat="1" applyFont="1" applyAlignment="1">
      <alignment horizontal="right" vertical="center"/>
    </xf>
    <xf numFmtId="167" fontId="2" fillId="0" borderId="0" xfId="0" applyNumberFormat="1" applyFont="1" applyAlignment="1">
      <alignment horizontal="right" vertical="center"/>
    </xf>
    <xf numFmtId="164" fontId="8" fillId="0" borderId="0" xfId="0" applyNumberFormat="1" applyFont="1" applyAlignment="1">
      <alignment horizontal="right" vertical="center"/>
    </xf>
    <xf numFmtId="164" fontId="5" fillId="0" borderId="0" xfId="0" applyNumberFormat="1" applyFont="1" applyAlignment="1">
      <alignment horizontal="right" vertical="center"/>
    </xf>
    <xf numFmtId="166" fontId="6" fillId="2" borderId="0" xfId="0" applyNumberFormat="1" applyFont="1" applyFill="1" applyAlignment="1">
      <alignment horizontal="right" vertical="center"/>
    </xf>
    <xf numFmtId="164" fontId="7" fillId="0" borderId="0" xfId="0" applyNumberFormat="1" applyFont="1" applyAlignment="1">
      <alignment horizontal="left" vertical="center"/>
    </xf>
    <xf numFmtId="167" fontId="5" fillId="0" borderId="0" xfId="0" applyNumberFormat="1" applyFont="1" applyAlignment="1">
      <alignment horizontal="right" vertical="center"/>
    </xf>
    <xf numFmtId="166" fontId="5" fillId="0" borderId="0" xfId="0" applyNumberFormat="1" applyFont="1" applyAlignment="1">
      <alignment horizontal="right" vertical="center"/>
    </xf>
    <xf numFmtId="165" fontId="5" fillId="0" borderId="0" xfId="1" applyNumberFormat="1" applyFont="1" applyFill="1" applyAlignment="1">
      <alignment horizontal="right" vertical="center"/>
    </xf>
    <xf numFmtId="165" fontId="5" fillId="0" borderId="0" xfId="1" applyNumberFormat="1" applyFont="1" applyAlignment="1">
      <alignment horizontal="right" vertical="center"/>
    </xf>
    <xf numFmtId="164" fontId="6" fillId="2" borderId="0" xfId="0" applyNumberFormat="1" applyFont="1" applyFill="1" applyAlignment="1">
      <alignment horizontal="right" vertical="center"/>
    </xf>
    <xf numFmtId="164" fontId="8" fillId="0" borderId="0" xfId="0" applyNumberFormat="1" applyFont="1" applyAlignment="1">
      <alignment horizontal="left" vertical="center"/>
    </xf>
    <xf numFmtId="164" fontId="7" fillId="0" borderId="1" xfId="0" applyNumberFormat="1" applyFont="1" applyBorder="1" applyAlignment="1">
      <alignment horizontal="left" vertical="center"/>
    </xf>
    <xf numFmtId="164" fontId="7" fillId="0" borderId="1" xfId="0" applyNumberFormat="1" applyFont="1" applyBorder="1" applyAlignment="1">
      <alignment horizontal="right" vertical="center"/>
    </xf>
    <xf numFmtId="0" fontId="2" fillId="0" borderId="0" xfId="0" applyFont="1"/>
    <xf numFmtId="0" fontId="7" fillId="0" borderId="0" xfId="0" applyFont="1"/>
    <xf numFmtId="0" fontId="2" fillId="0" borderId="0" xfId="0" applyFont="1" applyProtection="1">
      <protection locked="0"/>
    </xf>
    <xf numFmtId="0" fontId="2" fillId="0" borderId="0" xfId="0" applyFont="1" applyAlignment="1">
      <alignment horizontal="right" wrapText="1"/>
    </xf>
    <xf numFmtId="0" fontId="2" fillId="0" borderId="0" xfId="0" applyFont="1" applyAlignment="1">
      <alignment horizontal="right"/>
    </xf>
    <xf numFmtId="0" fontId="2" fillId="0" borderId="0" xfId="0" applyFont="1" applyAlignment="1" applyProtection="1">
      <alignment horizontal="right" wrapText="1"/>
      <protection locked="0"/>
    </xf>
    <xf numFmtId="0" fontId="2" fillId="0" borderId="0" xfId="0" applyFont="1" applyAlignment="1" applyProtection="1">
      <alignment horizontal="right"/>
      <protection locked="0"/>
    </xf>
    <xf numFmtId="169" fontId="3" fillId="4" borderId="2" xfId="2" applyNumberFormat="1" applyFont="1" applyBorder="1" applyAlignment="1">
      <alignment horizontal="center" vertical="center"/>
    </xf>
    <xf numFmtId="169" fontId="3" fillId="4" borderId="3" xfId="2" applyNumberFormat="1" applyFont="1" applyBorder="1" applyAlignment="1">
      <alignment horizontal="center" vertical="center"/>
    </xf>
    <xf numFmtId="17" fontId="4" fillId="5" borderId="7" xfId="3" applyNumberFormat="1" applyFont="1" applyBorder="1" applyAlignment="1">
      <alignment horizontal="center" vertical="center"/>
    </xf>
    <xf numFmtId="17" fontId="4" fillId="6" borderId="7" xfId="3" applyNumberFormat="1" applyFont="1" applyFill="1" applyBorder="1" applyAlignment="1">
      <alignment horizontal="center" vertical="center"/>
    </xf>
    <xf numFmtId="169" fontId="3" fillId="0" borderId="0" xfId="2" applyNumberFormat="1" applyFont="1" applyFill="1" applyBorder="1" applyAlignment="1">
      <alignment horizontal="center" vertical="center"/>
    </xf>
    <xf numFmtId="17" fontId="4" fillId="0" borderId="0" xfId="3" applyNumberFormat="1" applyFont="1" applyFill="1" applyBorder="1">
      <alignment horizontal="centerContinuous" vertical="center"/>
    </xf>
    <xf numFmtId="168" fontId="4" fillId="5" borderId="1" xfId="3" applyFont="1" applyBorder="1" applyAlignment="1">
      <alignment horizontal="left" vertical="center"/>
    </xf>
    <xf numFmtId="168" fontId="4" fillId="5" borderId="1" xfId="3" applyFont="1" applyBorder="1">
      <alignment horizontal="centerContinuous" vertical="center"/>
    </xf>
    <xf numFmtId="0" fontId="4" fillId="6" borderId="8" xfId="0" applyFont="1" applyFill="1" applyBorder="1" applyAlignment="1">
      <alignment vertical="center"/>
    </xf>
    <xf numFmtId="169" fontId="4" fillId="6" borderId="8" xfId="0" applyNumberFormat="1" applyFont="1" applyFill="1" applyBorder="1" applyAlignment="1">
      <alignment vertical="center"/>
    </xf>
    <xf numFmtId="169" fontId="6" fillId="0" borderId="0" xfId="0" applyNumberFormat="1" applyFont="1" applyAlignment="1">
      <alignment horizontal="right" vertical="center"/>
    </xf>
    <xf numFmtId="169" fontId="7" fillId="0" borderId="0" xfId="0" applyNumberFormat="1" applyFont="1" applyAlignment="1">
      <alignment horizontal="right" vertical="center"/>
    </xf>
    <xf numFmtId="169" fontId="6" fillId="0" borderId="0" xfId="0" applyNumberFormat="1" applyFont="1" applyAlignment="1" applyProtection="1">
      <alignment horizontal="right" vertical="center"/>
      <protection locked="0"/>
    </xf>
    <xf numFmtId="169" fontId="2" fillId="0" borderId="0" xfId="0" applyNumberFormat="1" applyFont="1" applyAlignment="1">
      <alignment horizontal="right" vertical="center"/>
    </xf>
    <xf numFmtId="170" fontId="2" fillId="0" borderId="0" xfId="0" applyNumberFormat="1" applyFont="1" applyAlignment="1">
      <alignment horizontal="right" vertical="center"/>
    </xf>
    <xf numFmtId="169" fontId="5" fillId="0" borderId="0" xfId="0" applyNumberFormat="1" applyFont="1" applyAlignment="1">
      <alignment horizontal="right" vertical="center"/>
    </xf>
    <xf numFmtId="169" fontId="6" fillId="2" borderId="0" xfId="0" applyNumberFormat="1" applyFont="1" applyFill="1" applyAlignment="1">
      <alignment horizontal="right" vertical="center"/>
    </xf>
    <xf numFmtId="169" fontId="11" fillId="6" borderId="8" xfId="0" applyNumberFormat="1" applyFont="1" applyFill="1" applyBorder="1" applyAlignment="1">
      <alignment vertical="center"/>
    </xf>
    <xf numFmtId="169" fontId="8" fillId="0" borderId="0" xfId="2" applyNumberFormat="1" applyFont="1" applyFill="1" applyBorder="1" applyAlignment="1">
      <alignment horizontal="left" vertical="center"/>
    </xf>
    <xf numFmtId="169" fontId="3" fillId="4" borderId="3" xfId="2" applyNumberFormat="1" applyFont="1" applyBorder="1" applyAlignment="1">
      <alignment horizontal="left" vertical="center"/>
    </xf>
    <xf numFmtId="169" fontId="3" fillId="4" borderId="3" xfId="2" applyNumberFormat="1" applyFont="1" applyBorder="1" applyAlignment="1">
      <alignment horizontal="right" vertical="center"/>
    </xf>
    <xf numFmtId="17" fontId="4" fillId="6" borderId="7" xfId="3" applyNumberFormat="1" applyFont="1" applyFill="1" applyBorder="1" applyAlignment="1">
      <alignment horizontal="left" vertical="center"/>
    </xf>
    <xf numFmtId="169" fontId="3" fillId="7" borderId="3" xfId="2" applyNumberFormat="1" applyFont="1" applyFill="1" applyBorder="1" applyAlignment="1">
      <alignment horizontal="left" vertical="center"/>
    </xf>
    <xf numFmtId="169" fontId="3" fillId="7" borderId="3" xfId="2" applyNumberFormat="1" applyFont="1" applyFill="1" applyBorder="1" applyAlignment="1">
      <alignment horizontal="right" vertical="center"/>
    </xf>
    <xf numFmtId="171" fontId="12" fillId="0" borderId="0" xfId="1" applyNumberFormat="1" applyFont="1" applyFill="1" applyAlignment="1">
      <alignment vertical="center"/>
    </xf>
    <xf numFmtId="0" fontId="7" fillId="0" borderId="8" xfId="0" applyFont="1" applyBorder="1"/>
    <xf numFmtId="164" fontId="7" fillId="0" borderId="8" xfId="0" applyNumberFormat="1" applyFont="1" applyBorder="1" applyAlignment="1">
      <alignment horizontal="left" vertical="center"/>
    </xf>
    <xf numFmtId="0" fontId="7" fillId="0" borderId="8" xfId="0" applyFont="1" applyBorder="1" applyAlignment="1">
      <alignment horizontal="right"/>
    </xf>
    <xf numFmtId="164" fontId="7" fillId="0" borderId="8" xfId="0" applyNumberFormat="1" applyFont="1" applyBorder="1" applyAlignment="1">
      <alignment horizontal="right" vertical="center"/>
    </xf>
    <xf numFmtId="164" fontId="7" fillId="0" borderId="9" xfId="0" applyNumberFormat="1" applyFont="1" applyBorder="1" applyAlignment="1">
      <alignment horizontal="right" vertical="center"/>
    </xf>
    <xf numFmtId="17" fontId="2" fillId="3" borderId="9" xfId="0" applyNumberFormat="1" applyFont="1" applyFill="1" applyBorder="1" applyAlignment="1">
      <alignment horizontal="right"/>
    </xf>
    <xf numFmtId="17" fontId="2" fillId="3" borderId="0" xfId="0" applyNumberFormat="1" applyFont="1" applyFill="1" applyAlignment="1">
      <alignment horizontal="right"/>
    </xf>
    <xf numFmtId="166" fontId="2" fillId="0" borderId="0" xfId="0" applyNumberFormat="1" applyFont="1" applyAlignment="1">
      <alignment horizontal="right" vertical="center"/>
    </xf>
    <xf numFmtId="0" fontId="2" fillId="0" borderId="0" xfId="0" applyFont="1" applyAlignment="1">
      <alignment horizontal="center" wrapText="1"/>
    </xf>
    <xf numFmtId="0" fontId="2" fillId="0" borderId="0" xfId="0" applyFont="1" applyAlignment="1">
      <alignment horizontal="center"/>
    </xf>
    <xf numFmtId="164" fontId="2" fillId="0" borderId="0" xfId="0" applyNumberFormat="1" applyFont="1" applyAlignment="1">
      <alignment horizontal="center" vertical="center"/>
    </xf>
    <xf numFmtId="0" fontId="7" fillId="0" borderId="8" xfId="0" applyFont="1" applyBorder="1" applyAlignment="1">
      <alignment horizontal="center"/>
    </xf>
    <xf numFmtId="171" fontId="8" fillId="0" borderId="0" xfId="1" applyNumberFormat="1" applyFont="1" applyFill="1" applyAlignment="1">
      <alignment vertical="center"/>
    </xf>
    <xf numFmtId="172" fontId="2" fillId="3" borderId="9" xfId="0" applyNumberFormat="1" applyFont="1" applyFill="1" applyBorder="1" applyAlignment="1">
      <alignment horizontal="right"/>
    </xf>
    <xf numFmtId="172" fontId="2" fillId="3" borderId="0" xfId="0" applyNumberFormat="1" applyFont="1" applyFill="1" applyAlignment="1">
      <alignment horizontal="right"/>
    </xf>
    <xf numFmtId="17" fontId="4" fillId="6" borderId="7" xfId="3" applyNumberFormat="1" applyFont="1" applyFill="1" applyBorder="1" applyAlignment="1">
      <alignment horizontal="right" vertical="center"/>
    </xf>
    <xf numFmtId="14" fontId="3" fillId="4" borderId="3" xfId="2" applyNumberFormat="1" applyFont="1" applyBorder="1" applyAlignment="1">
      <alignment horizontal="left" vertical="center"/>
    </xf>
    <xf numFmtId="169" fontId="6" fillId="8" borderId="0" xfId="0" applyNumberFormat="1" applyFont="1" applyFill="1" applyAlignment="1">
      <alignment horizontal="right" vertical="center"/>
    </xf>
    <xf numFmtId="0" fontId="2" fillId="0" borderId="0" xfId="0" applyFont="1" applyAlignment="1">
      <alignment horizontal="left"/>
    </xf>
    <xf numFmtId="0" fontId="2" fillId="0" borderId="0" xfId="0" applyFont="1" applyAlignment="1">
      <alignment horizontal="left" wrapText="1"/>
    </xf>
    <xf numFmtId="164" fontId="2" fillId="8" borderId="0" xfId="0" applyNumberFormat="1" applyFont="1" applyFill="1" applyAlignment="1">
      <alignment horizontal="right" vertical="center"/>
    </xf>
    <xf numFmtId="0" fontId="2" fillId="8" borderId="0" xfId="0" applyFont="1" applyFill="1" applyAlignment="1">
      <alignment horizontal="right" wrapText="1"/>
    </xf>
    <xf numFmtId="173" fontId="4" fillId="6" borderId="8" xfId="0" applyNumberFormat="1" applyFont="1" applyFill="1" applyBorder="1" applyAlignment="1">
      <alignment vertical="center"/>
    </xf>
    <xf numFmtId="17" fontId="4" fillId="0" borderId="0" xfId="3" applyNumberFormat="1" applyFont="1" applyFill="1" applyBorder="1" applyAlignment="1">
      <alignment horizontal="center" vertical="center"/>
    </xf>
    <xf numFmtId="168" fontId="4" fillId="5" borderId="1" xfId="3" applyFont="1" applyBorder="1" applyAlignment="1">
      <alignment horizontal="center" vertical="center"/>
    </xf>
    <xf numFmtId="173" fontId="6" fillId="0" borderId="0" xfId="0" applyNumberFormat="1" applyFont="1" applyAlignment="1">
      <alignment horizontal="right" vertical="center"/>
    </xf>
    <xf numFmtId="169" fontId="6" fillId="9" borderId="0" xfId="0" applyNumberFormat="1" applyFont="1" applyFill="1" applyAlignment="1">
      <alignment horizontal="right" vertical="center"/>
    </xf>
    <xf numFmtId="169" fontId="2" fillId="0" borderId="0" xfId="0" applyNumberFormat="1" applyFont="1" applyAlignment="1">
      <alignment horizontal="right" wrapText="1"/>
    </xf>
    <xf numFmtId="164" fontId="7" fillId="0" borderId="8" xfId="0" applyNumberFormat="1" applyFont="1" applyBorder="1" applyAlignment="1">
      <alignment horizontal="center" vertical="center"/>
    </xf>
    <xf numFmtId="9" fontId="2" fillId="0" borderId="0" xfId="0" applyNumberFormat="1" applyFont="1" applyAlignment="1">
      <alignment horizontal="center" wrapText="1"/>
    </xf>
    <xf numFmtId="169" fontId="6" fillId="0" borderId="0" xfId="0" applyNumberFormat="1" applyFont="1" applyAlignment="1">
      <alignment horizontal="center" vertical="center"/>
    </xf>
    <xf numFmtId="164" fontId="7" fillId="0" borderId="9" xfId="0" applyNumberFormat="1" applyFont="1" applyBorder="1" applyAlignment="1">
      <alignment horizontal="center" vertical="center"/>
    </xf>
    <xf numFmtId="17" fontId="2" fillId="3" borderId="9" xfId="0" applyNumberFormat="1" applyFont="1" applyFill="1" applyBorder="1" applyAlignment="1">
      <alignment horizontal="center"/>
    </xf>
    <xf numFmtId="166" fontId="2" fillId="0" borderId="0" xfId="0" applyNumberFormat="1" applyFont="1" applyAlignment="1">
      <alignment horizontal="center" vertical="center"/>
    </xf>
    <xf numFmtId="17" fontId="2" fillId="3" borderId="0" xfId="0" applyNumberFormat="1" applyFont="1" applyFill="1" applyAlignment="1">
      <alignment horizontal="center"/>
    </xf>
    <xf numFmtId="169" fontId="2" fillId="0" borderId="0" xfId="0" applyNumberFormat="1" applyFont="1" applyAlignment="1">
      <alignment horizontal="right"/>
    </xf>
    <xf numFmtId="174" fontId="2" fillId="0" borderId="0" xfId="0" applyNumberFormat="1" applyFont="1" applyAlignment="1">
      <alignment horizontal="right"/>
    </xf>
    <xf numFmtId="166" fontId="8" fillId="2" borderId="0" xfId="0" applyNumberFormat="1" applyFont="1" applyFill="1" applyAlignment="1">
      <alignment horizontal="right" vertical="center"/>
    </xf>
    <xf numFmtId="164" fontId="2" fillId="0" borderId="9" xfId="0" applyNumberFormat="1" applyFont="1" applyBorder="1" applyAlignment="1">
      <alignment horizontal="left" vertical="center"/>
    </xf>
    <xf numFmtId="164" fontId="2" fillId="0" borderId="9" xfId="0" applyNumberFormat="1" applyFont="1" applyBorder="1" applyAlignment="1">
      <alignment horizontal="right" vertical="center"/>
    </xf>
    <xf numFmtId="166" fontId="8" fillId="2" borderId="9" xfId="0" applyNumberFormat="1" applyFont="1" applyFill="1" applyBorder="1" applyAlignment="1">
      <alignment horizontal="right" vertical="center"/>
    </xf>
    <xf numFmtId="175" fontId="2" fillId="0" borderId="0" xfId="0" applyNumberFormat="1" applyFont="1" applyAlignment="1">
      <alignment horizontal="right" vertical="center"/>
    </xf>
    <xf numFmtId="164" fontId="13" fillId="2" borderId="0" xfId="0" applyNumberFormat="1" applyFont="1" applyFill="1" applyAlignment="1">
      <alignment horizontal="center" wrapText="1"/>
    </xf>
    <xf numFmtId="164" fontId="6" fillId="2" borderId="0" xfId="0" applyNumberFormat="1" applyFont="1" applyFill="1" applyAlignment="1">
      <alignment horizontal="center" wrapText="1"/>
    </xf>
    <xf numFmtId="3" fontId="2" fillId="0" borderId="0" xfId="0" applyNumberFormat="1" applyFont="1" applyAlignment="1">
      <alignment horizontal="right" vertical="center"/>
    </xf>
    <xf numFmtId="170" fontId="4" fillId="6" borderId="8" xfId="0" applyNumberFormat="1" applyFont="1" applyFill="1" applyBorder="1" applyAlignment="1">
      <alignment vertical="center"/>
    </xf>
    <xf numFmtId="176" fontId="2" fillId="0" borderId="0" xfId="0" applyNumberFormat="1" applyFont="1" applyAlignment="1">
      <alignment horizontal="right" wrapText="1"/>
    </xf>
    <xf numFmtId="177" fontId="15" fillId="3" borderId="0" xfId="0" applyNumberFormat="1" applyFont="1" applyFill="1"/>
    <xf numFmtId="177" fontId="15" fillId="3" borderId="12" xfId="0" applyNumberFormat="1" applyFont="1" applyFill="1" applyBorder="1"/>
    <xf numFmtId="0" fontId="17" fillId="3" borderId="16" xfId="0" applyFont="1" applyFill="1" applyBorder="1"/>
    <xf numFmtId="0" fontId="17" fillId="3" borderId="0" xfId="0" applyFont="1" applyFill="1"/>
    <xf numFmtId="0" fontId="17" fillId="3" borderId="17" xfId="0" applyFont="1" applyFill="1" applyBorder="1"/>
    <xf numFmtId="0" fontId="17" fillId="3" borderId="18" xfId="0" applyFont="1" applyFill="1" applyBorder="1" applyAlignment="1">
      <alignment horizontal="center"/>
    </xf>
    <xf numFmtId="177" fontId="15" fillId="3" borderId="20" xfId="0" applyNumberFormat="1" applyFont="1" applyFill="1" applyBorder="1"/>
    <xf numFmtId="0" fontId="17" fillId="3" borderId="22" xfId="0" applyFont="1" applyFill="1" applyBorder="1"/>
    <xf numFmtId="0" fontId="17" fillId="3" borderId="23" xfId="0" applyFont="1" applyFill="1" applyBorder="1"/>
    <xf numFmtId="177" fontId="14" fillId="3" borderId="0" xfId="5" applyNumberFormat="1" applyFill="1"/>
    <xf numFmtId="0" fontId="17" fillId="3" borderId="19" xfId="0" applyFont="1" applyFill="1" applyBorder="1"/>
    <xf numFmtId="0" fontId="17" fillId="3" borderId="20" xfId="0" applyFont="1" applyFill="1" applyBorder="1"/>
    <xf numFmtId="0" fontId="17" fillId="3" borderId="21" xfId="0" applyFont="1" applyFill="1" applyBorder="1" applyAlignment="1">
      <alignment horizontal="center"/>
    </xf>
    <xf numFmtId="178" fontId="19" fillId="0" borderId="22" xfId="4" applyNumberFormat="1" applyFont="1" applyBorder="1"/>
    <xf numFmtId="177" fontId="15" fillId="3" borderId="15" xfId="0" applyNumberFormat="1" applyFont="1" applyFill="1" applyBorder="1" applyAlignment="1">
      <alignment horizontal="center"/>
    </xf>
    <xf numFmtId="177" fontId="15" fillId="3" borderId="21" xfId="0" applyNumberFormat="1" applyFont="1" applyFill="1" applyBorder="1" applyAlignment="1">
      <alignment horizontal="center"/>
    </xf>
    <xf numFmtId="177" fontId="15" fillId="3" borderId="14" xfId="0" applyNumberFormat="1" applyFont="1" applyFill="1" applyBorder="1"/>
    <xf numFmtId="178" fontId="20" fillId="0" borderId="17" xfId="4" applyNumberFormat="1" applyFont="1" applyBorder="1"/>
    <xf numFmtId="177" fontId="15" fillId="3" borderId="19" xfId="0" applyNumberFormat="1" applyFont="1" applyFill="1" applyBorder="1"/>
    <xf numFmtId="178" fontId="20" fillId="0" borderId="23" xfId="4" applyNumberFormat="1" applyFont="1" applyBorder="1"/>
    <xf numFmtId="172" fontId="15" fillId="3" borderId="0" xfId="0" applyNumberFormat="1" applyFont="1" applyFill="1"/>
    <xf numFmtId="177" fontId="15" fillId="3" borderId="0" xfId="0" applyNumberFormat="1" applyFont="1" applyFill="1" applyAlignment="1">
      <alignment horizontal="center"/>
    </xf>
    <xf numFmtId="169" fontId="8" fillId="0" borderId="0" xfId="0" applyNumberFormat="1" applyFont="1" applyAlignment="1">
      <alignment horizontal="right" vertical="center"/>
    </xf>
    <xf numFmtId="0" fontId="7" fillId="0" borderId="9" xfId="0" applyFont="1" applyBorder="1"/>
    <xf numFmtId="169" fontId="4" fillId="0" borderId="9" xfId="0" applyNumberFormat="1" applyFont="1" applyBorder="1" applyAlignment="1">
      <alignment horizontal="right"/>
    </xf>
    <xf numFmtId="179" fontId="7" fillId="0" borderId="0" xfId="0" applyNumberFormat="1" applyFont="1" applyAlignment="1">
      <alignment horizontal="right" vertical="center"/>
    </xf>
    <xf numFmtId="167" fontId="8" fillId="0" borderId="0" xfId="0" applyNumberFormat="1" applyFont="1" applyAlignment="1">
      <alignment horizontal="right" vertical="center"/>
    </xf>
    <xf numFmtId="180" fontId="2" fillId="0" borderId="0" xfId="0" applyNumberFormat="1" applyFont="1" applyAlignment="1">
      <alignment horizontal="center" wrapText="1"/>
    </xf>
    <xf numFmtId="0" fontId="2" fillId="0" borderId="1" xfId="0" applyFont="1" applyBorder="1" applyAlignment="1">
      <alignment horizontal="right" wrapText="1"/>
    </xf>
    <xf numFmtId="180" fontId="2" fillId="0" borderId="1" xfId="0" applyNumberFormat="1" applyFont="1" applyBorder="1" applyAlignment="1">
      <alignment horizontal="center" wrapText="1"/>
    </xf>
    <xf numFmtId="169" fontId="6" fillId="0" borderId="1" xfId="0" applyNumberFormat="1" applyFont="1" applyBorder="1" applyAlignment="1">
      <alignment horizontal="right" vertical="center"/>
    </xf>
    <xf numFmtId="0" fontId="7" fillId="0" borderId="1" xfId="0" applyFont="1" applyBorder="1"/>
    <xf numFmtId="165" fontId="6" fillId="2" borderId="0" xfId="1" applyNumberFormat="1" applyFont="1" applyFill="1" applyAlignment="1">
      <alignment horizontal="right" vertical="center"/>
    </xf>
    <xf numFmtId="165" fontId="6" fillId="0" borderId="0" xfId="1" applyNumberFormat="1" applyFont="1" applyFill="1" applyAlignment="1">
      <alignment horizontal="right" vertical="center"/>
    </xf>
    <xf numFmtId="169" fontId="5" fillId="2" borderId="0" xfId="0" applyNumberFormat="1" applyFont="1" applyFill="1" applyAlignment="1">
      <alignment horizontal="right" vertical="center"/>
    </xf>
    <xf numFmtId="169" fontId="8" fillId="2" borderId="0" xfId="0" applyNumberFormat="1" applyFont="1" applyFill="1" applyAlignment="1">
      <alignment horizontal="right" vertical="center"/>
    </xf>
    <xf numFmtId="171" fontId="5" fillId="0" borderId="0" xfId="0" applyNumberFormat="1" applyFont="1" applyAlignment="1">
      <alignment horizontal="right" wrapText="1"/>
    </xf>
    <xf numFmtId="14" fontId="2" fillId="3" borderId="9" xfId="0" applyNumberFormat="1" applyFont="1" applyFill="1" applyBorder="1" applyAlignment="1">
      <alignment horizontal="right"/>
    </xf>
    <xf numFmtId="14" fontId="2" fillId="3" borderId="0" xfId="0" applyNumberFormat="1" applyFont="1" applyFill="1" applyAlignment="1">
      <alignment horizontal="right"/>
    </xf>
    <xf numFmtId="169" fontId="2" fillId="0" borderId="0" xfId="0" applyNumberFormat="1" applyFont="1"/>
    <xf numFmtId="179" fontId="8" fillId="0" borderId="0" xfId="0" applyNumberFormat="1" applyFont="1" applyAlignment="1">
      <alignment horizontal="right" vertical="center"/>
    </xf>
    <xf numFmtId="10" fontId="8" fillId="0" borderId="0" xfId="1" applyNumberFormat="1" applyFont="1" applyFill="1" applyAlignment="1">
      <alignment horizontal="right" vertical="center"/>
    </xf>
    <xf numFmtId="1" fontId="18" fillId="2" borderId="22" xfId="0" applyNumberFormat="1" applyFont="1" applyFill="1" applyBorder="1"/>
    <xf numFmtId="1" fontId="18" fillId="2" borderId="23" xfId="0" applyNumberFormat="1" applyFont="1" applyFill="1" applyBorder="1"/>
    <xf numFmtId="1" fontId="2" fillId="0" borderId="0" xfId="0" applyNumberFormat="1" applyFont="1"/>
    <xf numFmtId="174" fontId="2" fillId="0" borderId="0" xfId="0" applyNumberFormat="1" applyFont="1"/>
    <xf numFmtId="0" fontId="7" fillId="0" borderId="1" xfId="0" applyFont="1" applyBorder="1" applyAlignment="1">
      <alignment horizontal="right"/>
    </xf>
    <xf numFmtId="0" fontId="7" fillId="0" borderId="1" xfId="0" applyFont="1" applyBorder="1" applyAlignment="1">
      <alignment horizontal="right" wrapText="1"/>
    </xf>
    <xf numFmtId="172" fontId="2" fillId="0" borderId="0" xfId="0" applyNumberFormat="1" applyFont="1" applyAlignment="1">
      <alignment horizontal="right"/>
    </xf>
    <xf numFmtId="9" fontId="6" fillId="2" borderId="0" xfId="1" applyFont="1" applyFill="1" applyAlignment="1">
      <alignment horizontal="right" vertical="center"/>
    </xf>
    <xf numFmtId="181" fontId="6" fillId="2" borderId="0" xfId="0" applyNumberFormat="1" applyFont="1" applyFill="1" applyAlignment="1">
      <alignment horizontal="right" vertical="center"/>
    </xf>
    <xf numFmtId="171" fontId="23" fillId="0" borderId="0" xfId="1" applyNumberFormat="1" applyFont="1" applyFill="1" applyAlignment="1">
      <alignment vertical="center"/>
    </xf>
    <xf numFmtId="17" fontId="15" fillId="3" borderId="25" xfId="0" applyNumberFormat="1" applyFont="1" applyFill="1" applyBorder="1" applyAlignment="1">
      <alignment horizontal="center"/>
    </xf>
    <xf numFmtId="17" fontId="15" fillId="3" borderId="0" xfId="0" applyNumberFormat="1" applyFont="1" applyFill="1" applyAlignment="1">
      <alignment horizontal="center"/>
    </xf>
    <xf numFmtId="164" fontId="6" fillId="0" borderId="0" xfId="0" applyNumberFormat="1" applyFont="1" applyAlignment="1">
      <alignment horizontal="right" vertical="center"/>
    </xf>
    <xf numFmtId="0" fontId="2" fillId="8" borderId="0" xfId="0" applyFont="1" applyFill="1"/>
    <xf numFmtId="181" fontId="8" fillId="0" borderId="0" xfId="0" applyNumberFormat="1" applyFont="1" applyAlignment="1">
      <alignment horizontal="right" vertical="center"/>
    </xf>
    <xf numFmtId="181" fontId="4" fillId="0" borderId="1" xfId="0" applyNumberFormat="1" applyFont="1" applyBorder="1" applyAlignment="1">
      <alignment horizontal="right" vertical="center"/>
    </xf>
    <xf numFmtId="170" fontId="8" fillId="0" borderId="0" xfId="0" applyNumberFormat="1" applyFont="1" applyAlignment="1">
      <alignment horizontal="right" vertical="center"/>
    </xf>
    <xf numFmtId="165" fontId="8" fillId="0" borderId="0" xfId="1" applyNumberFormat="1" applyFont="1" applyFill="1" applyAlignment="1">
      <alignment horizontal="right" vertical="center"/>
    </xf>
    <xf numFmtId="0" fontId="7" fillId="0" borderId="8" xfId="0" applyFont="1" applyBorder="1" applyAlignment="1">
      <alignment horizontal="right" wrapText="1"/>
    </xf>
    <xf numFmtId="0" fontId="8" fillId="11" borderId="0" xfId="0" applyFont="1" applyFill="1" applyAlignment="1">
      <alignment horizontal="left" vertical="center" wrapText="1" indent="1"/>
    </xf>
    <xf numFmtId="0" fontId="8" fillId="0" borderId="0" xfId="0" applyFont="1" applyAlignment="1">
      <alignment horizontal="center" wrapText="1"/>
    </xf>
    <xf numFmtId="0" fontId="8" fillId="3" borderId="0" xfId="0" applyFont="1" applyFill="1" applyAlignment="1">
      <alignment horizontal="left" vertical="center" wrapText="1" indent="1"/>
    </xf>
    <xf numFmtId="164" fontId="8" fillId="3" borderId="0" xfId="0" applyNumberFormat="1" applyFont="1" applyFill="1" applyAlignment="1">
      <alignment horizontal="right" vertical="center"/>
    </xf>
    <xf numFmtId="0" fontId="24" fillId="0" borderId="0" xfId="0" applyFont="1" applyAlignment="1">
      <alignment horizontal="center" wrapText="1"/>
    </xf>
    <xf numFmtId="164" fontId="2" fillId="0" borderId="0" xfId="0" applyNumberFormat="1" applyFont="1" applyAlignment="1">
      <alignment horizontal="right" wrapText="1"/>
    </xf>
    <xf numFmtId="0" fontId="4" fillId="11" borderId="9" xfId="0" applyFont="1" applyFill="1" applyBorder="1" applyAlignment="1">
      <alignment horizontal="left" vertical="center" wrapText="1" indent="1"/>
    </xf>
    <xf numFmtId="0" fontId="4" fillId="0" borderId="9" xfId="0" applyFont="1" applyBorder="1" applyAlignment="1">
      <alignment horizontal="center" wrapText="1"/>
    </xf>
    <xf numFmtId="169" fontId="4" fillId="0" borderId="9" xfId="0" applyNumberFormat="1" applyFont="1" applyBorder="1" applyAlignment="1">
      <alignment horizontal="right" vertical="center"/>
    </xf>
    <xf numFmtId="3" fontId="4" fillId="11" borderId="9" xfId="0" applyNumberFormat="1" applyFont="1" applyFill="1" applyBorder="1" applyAlignment="1">
      <alignment horizontal="left" vertical="center" wrapText="1" indent="1"/>
    </xf>
    <xf numFmtId="172" fontId="7" fillId="3" borderId="9" xfId="0" applyNumberFormat="1" applyFont="1" applyFill="1" applyBorder="1" applyAlignment="1">
      <alignment horizontal="right"/>
    </xf>
    <xf numFmtId="166" fontId="7" fillId="0" borderId="9" xfId="0" applyNumberFormat="1" applyFont="1" applyBorder="1" applyAlignment="1">
      <alignment horizontal="right" vertical="center"/>
    </xf>
    <xf numFmtId="0" fontId="4" fillId="11" borderId="0" xfId="0" applyFont="1" applyFill="1" applyAlignment="1">
      <alignment horizontal="left" vertical="center" wrapText="1" indent="1"/>
    </xf>
    <xf numFmtId="0" fontId="4" fillId="0" borderId="0" xfId="0" applyFont="1" applyAlignment="1">
      <alignment horizontal="center" wrapText="1"/>
    </xf>
    <xf numFmtId="169" fontId="4" fillId="0" borderId="0" xfId="0" applyNumberFormat="1" applyFont="1" applyAlignment="1">
      <alignment horizontal="right" vertical="center"/>
    </xf>
    <xf numFmtId="3" fontId="4" fillId="11" borderId="0" xfId="0" applyNumberFormat="1" applyFont="1" applyFill="1" applyAlignment="1">
      <alignment horizontal="left" vertical="center" wrapText="1" indent="1"/>
    </xf>
    <xf numFmtId="172" fontId="7" fillId="3" borderId="0" xfId="0" applyNumberFormat="1" applyFont="1" applyFill="1" applyAlignment="1">
      <alignment horizontal="right"/>
    </xf>
    <xf numFmtId="166" fontId="7" fillId="0" borderId="0" xfId="0" applyNumberFormat="1" applyFont="1" applyAlignment="1">
      <alignment horizontal="right" vertical="center"/>
    </xf>
    <xf numFmtId="164" fontId="7" fillId="0" borderId="0" xfId="0" applyNumberFormat="1" applyFont="1" applyAlignment="1">
      <alignment horizontal="right" vertical="center"/>
    </xf>
    <xf numFmtId="0" fontId="25" fillId="11" borderId="0" xfId="0" applyFont="1" applyFill="1" applyAlignment="1">
      <alignment horizontal="left" vertical="center" wrapText="1" indent="1"/>
    </xf>
    <xf numFmtId="0" fontId="26" fillId="11" borderId="0" xfId="0" applyFont="1" applyFill="1" applyAlignment="1">
      <alignment horizontal="left" vertical="center" wrapText="1" indent="1"/>
    </xf>
    <xf numFmtId="182" fontId="2" fillId="0" borderId="0" xfId="0" applyNumberFormat="1" applyFont="1" applyAlignment="1">
      <alignment horizontal="right" wrapText="1"/>
    </xf>
    <xf numFmtId="169" fontId="6" fillId="0" borderId="0" xfId="0" applyNumberFormat="1" applyFont="1" applyAlignment="1">
      <alignment horizontal="right" wrapText="1"/>
    </xf>
    <xf numFmtId="0" fontId="6" fillId="0" borderId="0" xfId="0" applyFont="1"/>
    <xf numFmtId="9" fontId="2" fillId="0" borderId="0" xfId="1" applyFont="1" applyAlignment="1">
      <alignment horizontal="right" wrapText="1"/>
    </xf>
    <xf numFmtId="170" fontId="6" fillId="2" borderId="0" xfId="0" applyNumberFormat="1" applyFont="1" applyFill="1" applyAlignment="1">
      <alignment horizontal="right" vertical="center"/>
    </xf>
    <xf numFmtId="0" fontId="2" fillId="3" borderId="0" xfId="0" applyFont="1" applyFill="1" applyAlignment="1">
      <alignment horizontal="right" wrapText="1"/>
    </xf>
    <xf numFmtId="9" fontId="2" fillId="0" borderId="0" xfId="1" applyFont="1" applyAlignment="1">
      <alignment horizontal="right" vertical="center"/>
    </xf>
    <xf numFmtId="1" fontId="2" fillId="0" borderId="0" xfId="0" applyNumberFormat="1" applyFont="1" applyAlignment="1">
      <alignment horizontal="right" wrapText="1"/>
    </xf>
    <xf numFmtId="3" fontId="8" fillId="3" borderId="0" xfId="0" applyNumberFormat="1" applyFont="1" applyFill="1" applyAlignment="1">
      <alignment horizontal="left" vertical="center" wrapText="1" indent="1"/>
    </xf>
    <xf numFmtId="0" fontId="17" fillId="3" borderId="14" xfId="0" applyFont="1" applyFill="1" applyBorder="1"/>
    <xf numFmtId="0" fontId="17" fillId="3" borderId="12" xfId="0" applyFont="1" applyFill="1" applyBorder="1"/>
    <xf numFmtId="177" fontId="15" fillId="3" borderId="18" xfId="0" applyNumberFormat="1" applyFont="1" applyFill="1" applyBorder="1" applyAlignment="1">
      <alignment horizontal="center"/>
    </xf>
    <xf numFmtId="178" fontId="29" fillId="0" borderId="26" xfId="4" applyNumberFormat="1" applyFont="1" applyBorder="1"/>
    <xf numFmtId="178" fontId="19" fillId="0" borderId="27" xfId="4" applyNumberFormat="1" applyFont="1" applyBorder="1"/>
    <xf numFmtId="9" fontId="17" fillId="3" borderId="0" xfId="1" applyFont="1" applyFill="1" applyBorder="1"/>
    <xf numFmtId="9" fontId="15" fillId="3" borderId="0" xfId="1" applyFont="1" applyFill="1" applyBorder="1"/>
    <xf numFmtId="9" fontId="15" fillId="3" borderId="20" xfId="1" applyFont="1" applyFill="1" applyBorder="1"/>
    <xf numFmtId="178" fontId="19" fillId="0" borderId="28" xfId="4" applyNumberFormat="1" applyFont="1" applyBorder="1"/>
    <xf numFmtId="167" fontId="8" fillId="3" borderId="0" xfId="0" applyNumberFormat="1" applyFont="1" applyFill="1" applyAlignment="1">
      <alignment horizontal="right" vertical="center"/>
    </xf>
    <xf numFmtId="179" fontId="8" fillId="3" borderId="0" xfId="0" applyNumberFormat="1" applyFont="1" applyFill="1" applyAlignment="1">
      <alignment horizontal="right" vertical="center"/>
    </xf>
    <xf numFmtId="10" fontId="8" fillId="3" borderId="0" xfId="1" applyNumberFormat="1" applyFont="1" applyFill="1" applyAlignment="1">
      <alignment horizontal="right" vertical="center"/>
    </xf>
    <xf numFmtId="183" fontId="2" fillId="0" borderId="0" xfId="0" applyNumberFormat="1" applyFont="1" applyAlignment="1">
      <alignment horizontal="right" wrapText="1"/>
    </xf>
    <xf numFmtId="169" fontId="6" fillId="12" borderId="0" xfId="0" applyNumberFormat="1" applyFont="1" applyFill="1" applyAlignment="1">
      <alignment horizontal="right" vertical="center"/>
    </xf>
    <xf numFmtId="0" fontId="30" fillId="3" borderId="12" xfId="0" applyFont="1" applyFill="1" applyBorder="1"/>
    <xf numFmtId="0" fontId="6" fillId="0" borderId="0" xfId="0" applyFont="1" applyAlignment="1">
      <alignment horizontal="right" wrapText="1"/>
    </xf>
    <xf numFmtId="0" fontId="6" fillId="0" borderId="9" xfId="0" applyFont="1" applyBorder="1" applyAlignment="1">
      <alignment horizontal="right"/>
    </xf>
    <xf numFmtId="2" fontId="2" fillId="0" borderId="0" xfId="0" applyNumberFormat="1" applyFont="1" applyAlignment="1">
      <alignment horizontal="right" wrapText="1"/>
    </xf>
    <xf numFmtId="179" fontId="7" fillId="13" borderId="0" xfId="0" applyNumberFormat="1" applyFont="1" applyFill="1" applyAlignment="1">
      <alignment horizontal="right" vertical="center"/>
    </xf>
    <xf numFmtId="164" fontId="8" fillId="2" borderId="0" xfId="0" applyNumberFormat="1" applyFont="1" applyFill="1" applyAlignment="1">
      <alignment horizontal="right" vertical="center"/>
    </xf>
    <xf numFmtId="164" fontId="5" fillId="2" borderId="0" xfId="0" applyNumberFormat="1" applyFont="1" applyFill="1" applyAlignment="1">
      <alignment horizontal="right" vertical="center"/>
    </xf>
    <xf numFmtId="164" fontId="5" fillId="3" borderId="0" xfId="0" applyNumberFormat="1" applyFont="1" applyFill="1" applyAlignment="1">
      <alignment horizontal="right" vertical="center"/>
    </xf>
    <xf numFmtId="1" fontId="29" fillId="2" borderId="22" xfId="0" applyNumberFormat="1" applyFont="1" applyFill="1" applyBorder="1"/>
    <xf numFmtId="1" fontId="29" fillId="2" borderId="23" xfId="0" applyNumberFormat="1" applyFont="1" applyFill="1" applyBorder="1"/>
    <xf numFmtId="170" fontId="8" fillId="2" borderId="0" xfId="0" applyNumberFormat="1" applyFont="1" applyFill="1" applyAlignment="1">
      <alignment horizontal="right" vertical="center"/>
    </xf>
    <xf numFmtId="0" fontId="2" fillId="2" borderId="0" xfId="0" applyFont="1" applyFill="1" applyAlignment="1">
      <alignment horizontal="right" wrapText="1"/>
    </xf>
    <xf numFmtId="169" fontId="2" fillId="2" borderId="0" xfId="0" applyNumberFormat="1" applyFont="1" applyFill="1" applyAlignment="1">
      <alignment horizontal="right" vertical="center"/>
    </xf>
    <xf numFmtId="171" fontId="8" fillId="2" borderId="0" xfId="1" applyNumberFormat="1" applyFont="1" applyFill="1" applyAlignment="1">
      <alignment vertical="center"/>
    </xf>
    <xf numFmtId="9" fontId="2" fillId="2" borderId="0" xfId="1" applyFont="1" applyFill="1" applyAlignment="1">
      <alignment horizontal="right" vertical="center"/>
    </xf>
    <xf numFmtId="169" fontId="6" fillId="3" borderId="0" xfId="0" applyNumberFormat="1" applyFont="1" applyFill="1" applyAlignment="1">
      <alignment horizontal="right" vertical="center"/>
    </xf>
    <xf numFmtId="164" fontId="6" fillId="3" borderId="0" xfId="0" applyNumberFormat="1" applyFont="1" applyFill="1" applyAlignment="1">
      <alignment horizontal="right" vertical="center"/>
    </xf>
    <xf numFmtId="1" fontId="6" fillId="0" borderId="0" xfId="0" applyNumberFormat="1" applyFont="1" applyAlignment="1">
      <alignment horizontal="right" wrapText="1"/>
    </xf>
    <xf numFmtId="164" fontId="8" fillId="0" borderId="9" xfId="0" applyNumberFormat="1" applyFont="1" applyBorder="1" applyAlignment="1">
      <alignment horizontal="right" wrapText="1"/>
    </xf>
    <xf numFmtId="164" fontId="8" fillId="0" borderId="0" xfId="0" applyNumberFormat="1" applyFont="1" applyAlignment="1">
      <alignment horizontal="right" wrapText="1"/>
    </xf>
    <xf numFmtId="184" fontId="7" fillId="0" borderId="0" xfId="0" applyNumberFormat="1" applyFont="1" applyAlignment="1">
      <alignment horizontal="right" wrapText="1"/>
    </xf>
    <xf numFmtId="9" fontId="8" fillId="3" borderId="0" xfId="1" applyFont="1" applyFill="1" applyAlignment="1">
      <alignment horizontal="right" vertical="center"/>
    </xf>
    <xf numFmtId="178" fontId="6" fillId="2" borderId="0" xfId="4" applyNumberFormat="1" applyFont="1" applyFill="1" applyAlignment="1">
      <alignment horizontal="right" vertical="center"/>
    </xf>
    <xf numFmtId="9" fontId="5" fillId="2" borderId="0" xfId="1" applyFont="1" applyFill="1" applyAlignment="1">
      <alignment horizontal="right" vertical="center"/>
    </xf>
    <xf numFmtId="4" fontId="2" fillId="0" borderId="0" xfId="0" applyNumberFormat="1" applyFont="1"/>
    <xf numFmtId="174" fontId="2" fillId="0" borderId="0" xfId="0" applyNumberFormat="1" applyFont="1" applyAlignment="1">
      <alignment horizontal="right" wrapText="1"/>
    </xf>
    <xf numFmtId="185" fontId="2" fillId="0" borderId="0" xfId="0" applyNumberFormat="1" applyFont="1" applyAlignment="1">
      <alignment horizontal="right" vertical="center"/>
    </xf>
    <xf numFmtId="164" fontId="8" fillId="13" borderId="0" xfId="0" applyNumberFormat="1" applyFont="1" applyFill="1" applyAlignment="1">
      <alignment horizontal="left" vertical="center"/>
    </xf>
    <xf numFmtId="0" fontId="16" fillId="10" borderId="10" xfId="0" applyFont="1" applyFill="1" applyBorder="1" applyAlignment="1">
      <alignment horizontal="center"/>
    </xf>
    <xf numFmtId="0" fontId="16" fillId="10" borderId="11" xfId="0" applyFont="1" applyFill="1" applyBorder="1" applyAlignment="1">
      <alignment horizontal="center"/>
    </xf>
    <xf numFmtId="0" fontId="16" fillId="10" borderId="13" xfId="0" applyFont="1" applyFill="1" applyBorder="1" applyAlignment="1">
      <alignment horizontal="center"/>
    </xf>
    <xf numFmtId="0" fontId="16" fillId="10" borderId="12" xfId="0" applyFont="1" applyFill="1" applyBorder="1" applyAlignment="1">
      <alignment horizontal="center"/>
    </xf>
    <xf numFmtId="0" fontId="16" fillId="10" borderId="20" xfId="0" applyFont="1" applyFill="1" applyBorder="1" applyAlignment="1">
      <alignment horizontal="center"/>
    </xf>
    <xf numFmtId="169" fontId="3" fillId="4" borderId="4" xfId="2" applyNumberFormat="1" applyFont="1" applyBorder="1" applyAlignment="1">
      <alignment horizontal="center" vertical="center"/>
    </xf>
    <xf numFmtId="169" fontId="3" fillId="4" borderId="5" xfId="2" applyNumberFormat="1" applyFont="1" applyBorder="1" applyAlignment="1">
      <alignment horizontal="center" vertical="center"/>
    </xf>
    <xf numFmtId="169" fontId="3" fillId="4" borderId="6" xfId="2" applyNumberFormat="1" applyFont="1" applyBorder="1" applyAlignment="1">
      <alignment horizontal="center" vertical="center"/>
    </xf>
    <xf numFmtId="169" fontId="3" fillId="4" borderId="2" xfId="2" applyNumberFormat="1" applyFont="1" applyBorder="1" applyAlignment="1">
      <alignment horizontal="center" vertical="center"/>
    </xf>
    <xf numFmtId="0" fontId="15" fillId="3" borderId="0" xfId="0" applyFont="1" applyFill="1"/>
  </cellXfs>
  <cellStyles count="8">
    <cellStyle name="a. Title 1" xfId="2" xr:uid="{FBFA19C4-5A31-463D-BDA8-AFFD55DAE35B}"/>
    <cellStyle name="c. Title 3" xfId="3" xr:uid="{9B2F1A65-4292-44A7-A729-90348244592E}"/>
    <cellStyle name="Comma" xfId="4" builtinId="3"/>
    <cellStyle name="Header" xfId="7" xr:uid="{8FE0A51E-F2B9-4A75-8243-5B136091334B}"/>
    <cellStyle name="Hyperlink" xfId="5" builtinId="8"/>
    <cellStyle name="Normal" xfId="0" builtinId="0"/>
    <cellStyle name="Normal 2" xfId="6" xr:uid="{F15AEC09-6B4F-40E6-BE72-A231E07C03AB}"/>
    <cellStyle name="Percent" xfId="1"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0000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microsoft.com/office/2017/06/relationships/richStyles" Target="richData/richStyles.xml"/><Relationship Id="rId3" Type="http://schemas.openxmlformats.org/officeDocument/2006/relationships/worksheet" Target="worksheets/sheet3.xml"/><Relationship Id="rId21" Type="http://schemas.microsoft.com/office/2017/06/relationships/rdRichValueTypes" Target="richData/rdRichValueTypes.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06/relationships/rdRichValueStructure" Target="richData/rdrichvaluestructure.xml"/><Relationship Id="rId2" Type="http://schemas.openxmlformats.org/officeDocument/2006/relationships/worksheet" Target="worksheets/sheet2.xml"/><Relationship Id="rId16" Type="http://schemas.microsoft.com/office/2017/06/relationships/rdRichValue" Target="richData/rdrichvalue.xml"/><Relationship Id="rId20" Type="http://schemas.microsoft.com/office/2017/06/relationships/rdSupportingPropertyBag" Target="richData/rdsupportingpropertybag.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23" Type="http://schemas.openxmlformats.org/officeDocument/2006/relationships/calcChain" Target="calcChain.xml"/><Relationship Id="rId10" Type="http://schemas.openxmlformats.org/officeDocument/2006/relationships/worksheet" Target="worksheets/sheet10.xml"/><Relationship Id="rId19" Type="http://schemas.microsoft.com/office/2017/06/relationships/rdSupportingPropertyBagStructure" Target="richData/rdsupportingpropertybagstructur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 Id="rId22"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11</xdr:col>
      <xdr:colOff>190498</xdr:colOff>
      <xdr:row>15</xdr:row>
      <xdr:rowOff>29307</xdr:rowOff>
    </xdr:from>
    <xdr:to>
      <xdr:col>16</xdr:col>
      <xdr:colOff>454512</xdr:colOff>
      <xdr:row>25</xdr:row>
      <xdr:rowOff>80597</xdr:rowOff>
    </xdr:to>
    <xdr:pic>
      <xdr:nvPicPr>
        <xdr:cNvPr id="4" name="Picture 3">
          <a:extLst>
            <a:ext uri="{FF2B5EF4-FFF2-40B4-BE49-F238E27FC236}">
              <a16:creationId xmlns:a16="http://schemas.microsoft.com/office/drawing/2014/main" id="{4BAAE516-9F90-E3AD-2D2B-302632A22147}"/>
            </a:ext>
          </a:extLst>
        </xdr:cNvPr>
        <xdr:cNvPicPr>
          <a:picLocks noChangeAspect="1"/>
        </xdr:cNvPicPr>
      </xdr:nvPicPr>
      <xdr:blipFill>
        <a:blip xmlns:r="http://schemas.openxmlformats.org/officeDocument/2006/relationships" r:embed="rId1"/>
        <a:stretch>
          <a:fillRect/>
        </a:stretch>
      </xdr:blipFill>
      <xdr:spPr>
        <a:xfrm>
          <a:off x="6806710" y="2483826"/>
          <a:ext cx="3304687" cy="1677866"/>
        </a:xfrm>
        <a:prstGeom prst="rect">
          <a:avLst/>
        </a:prstGeom>
      </xdr:spPr>
    </xdr:pic>
    <xdr:clientData/>
  </xdr:twoCellAnchor>
  <xdr:twoCellAnchor editAs="oneCell">
    <xdr:from>
      <xdr:col>11</xdr:col>
      <xdr:colOff>197827</xdr:colOff>
      <xdr:row>36</xdr:row>
      <xdr:rowOff>139212</xdr:rowOff>
    </xdr:from>
    <xdr:to>
      <xdr:col>18</xdr:col>
      <xdr:colOff>10033</xdr:colOff>
      <xdr:row>50</xdr:row>
      <xdr:rowOff>23732</xdr:rowOff>
    </xdr:to>
    <xdr:pic>
      <xdr:nvPicPr>
        <xdr:cNvPr id="3" name="Picture 2">
          <a:extLst>
            <a:ext uri="{FF2B5EF4-FFF2-40B4-BE49-F238E27FC236}">
              <a16:creationId xmlns:a16="http://schemas.microsoft.com/office/drawing/2014/main" id="{3E8C06FD-EDD0-0A67-01F5-FAB593912AE0}"/>
            </a:ext>
          </a:extLst>
        </xdr:cNvPr>
        <xdr:cNvPicPr>
          <a:picLocks noChangeAspect="1"/>
        </xdr:cNvPicPr>
      </xdr:nvPicPr>
      <xdr:blipFill>
        <a:blip xmlns:r="http://schemas.openxmlformats.org/officeDocument/2006/relationships" r:embed="rId2"/>
        <a:stretch>
          <a:fillRect/>
        </a:stretch>
      </xdr:blipFill>
      <xdr:spPr>
        <a:xfrm>
          <a:off x="6814039" y="3773366"/>
          <a:ext cx="3629532" cy="2038635"/>
        </a:xfrm>
        <a:prstGeom prst="rect">
          <a:avLst/>
        </a:prstGeom>
      </xdr:spPr>
    </xdr:pic>
    <xdr:clientData/>
  </xdr:twoCellAnchor>
  <xdr:twoCellAnchor editAs="oneCell">
    <xdr:from>
      <xdr:col>11</xdr:col>
      <xdr:colOff>249115</xdr:colOff>
      <xdr:row>53</xdr:row>
      <xdr:rowOff>66138</xdr:rowOff>
    </xdr:from>
    <xdr:to>
      <xdr:col>17</xdr:col>
      <xdr:colOff>7328</xdr:colOff>
      <xdr:row>65</xdr:row>
      <xdr:rowOff>158570</xdr:rowOff>
    </xdr:to>
    <xdr:pic>
      <xdr:nvPicPr>
        <xdr:cNvPr id="5" name="Picture 4">
          <a:extLst>
            <a:ext uri="{FF2B5EF4-FFF2-40B4-BE49-F238E27FC236}">
              <a16:creationId xmlns:a16="http://schemas.microsoft.com/office/drawing/2014/main" id="{F1B4747B-FC1F-C1F1-AD07-9EE0B2B091A6}"/>
            </a:ext>
          </a:extLst>
        </xdr:cNvPr>
        <xdr:cNvPicPr>
          <a:picLocks noChangeAspect="1"/>
        </xdr:cNvPicPr>
      </xdr:nvPicPr>
      <xdr:blipFill>
        <a:blip xmlns:r="http://schemas.openxmlformats.org/officeDocument/2006/relationships" r:embed="rId3"/>
        <a:stretch>
          <a:fillRect/>
        </a:stretch>
      </xdr:blipFill>
      <xdr:spPr>
        <a:xfrm>
          <a:off x="6865327" y="6337984"/>
          <a:ext cx="3407020" cy="20267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30</xdr:col>
      <xdr:colOff>60612</xdr:colOff>
      <xdr:row>123</xdr:row>
      <xdr:rowOff>86591</xdr:rowOff>
    </xdr:from>
    <xdr:to>
      <xdr:col>36</xdr:col>
      <xdr:colOff>155864</xdr:colOff>
      <xdr:row>131</xdr:row>
      <xdr:rowOff>68644</xdr:rowOff>
    </xdr:to>
    <xdr:pic>
      <xdr:nvPicPr>
        <xdr:cNvPr id="2" name="Picture 1">
          <a:extLst>
            <a:ext uri="{FF2B5EF4-FFF2-40B4-BE49-F238E27FC236}">
              <a16:creationId xmlns:a16="http://schemas.microsoft.com/office/drawing/2014/main" id="{316A660D-0237-53AE-8D30-AAF120965343}"/>
            </a:ext>
          </a:extLst>
        </xdr:cNvPr>
        <xdr:cNvPicPr>
          <a:picLocks noChangeAspect="1"/>
        </xdr:cNvPicPr>
      </xdr:nvPicPr>
      <xdr:blipFill>
        <a:blip xmlns:r="http://schemas.openxmlformats.org/officeDocument/2006/relationships" r:embed="rId1"/>
        <a:stretch>
          <a:fillRect/>
        </a:stretch>
      </xdr:blipFill>
      <xdr:spPr>
        <a:xfrm>
          <a:off x="19370385" y="18894136"/>
          <a:ext cx="4061115" cy="1202985"/>
        </a:xfrm>
        <a:prstGeom prst="rect">
          <a:avLst/>
        </a:prstGeom>
      </xdr:spPr>
    </xdr:pic>
    <xdr:clientData/>
  </xdr:twoCellAnchor>
  <xdr:twoCellAnchor editAs="oneCell">
    <xdr:from>
      <xdr:col>30</xdr:col>
      <xdr:colOff>43294</xdr:colOff>
      <xdr:row>131</xdr:row>
      <xdr:rowOff>138546</xdr:rowOff>
    </xdr:from>
    <xdr:to>
      <xdr:col>36</xdr:col>
      <xdr:colOff>199159</xdr:colOff>
      <xdr:row>138</xdr:row>
      <xdr:rowOff>25977</xdr:rowOff>
    </xdr:to>
    <xdr:pic>
      <xdr:nvPicPr>
        <xdr:cNvPr id="3" name="Picture 2">
          <a:extLst>
            <a:ext uri="{FF2B5EF4-FFF2-40B4-BE49-F238E27FC236}">
              <a16:creationId xmlns:a16="http://schemas.microsoft.com/office/drawing/2014/main" id="{26FE346E-D47A-F8DB-A117-F909535EAC55}"/>
            </a:ext>
          </a:extLst>
        </xdr:cNvPr>
        <xdr:cNvPicPr>
          <a:picLocks noChangeAspect="1"/>
        </xdr:cNvPicPr>
      </xdr:nvPicPr>
      <xdr:blipFill>
        <a:blip xmlns:r="http://schemas.openxmlformats.org/officeDocument/2006/relationships" r:embed="rId2"/>
        <a:stretch>
          <a:fillRect/>
        </a:stretch>
      </xdr:blipFill>
      <xdr:spPr>
        <a:xfrm>
          <a:off x="19353067" y="20167023"/>
          <a:ext cx="4121728" cy="10217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309563</xdr:colOff>
      <xdr:row>149</xdr:row>
      <xdr:rowOff>0</xdr:rowOff>
    </xdr:from>
    <xdr:to>
      <xdr:col>19</xdr:col>
      <xdr:colOff>40869</xdr:colOff>
      <xdr:row>170</xdr:row>
      <xdr:rowOff>18747</xdr:rowOff>
    </xdr:to>
    <xdr:pic>
      <xdr:nvPicPr>
        <xdr:cNvPr id="2" name="Picture 1">
          <a:extLst>
            <a:ext uri="{FF2B5EF4-FFF2-40B4-BE49-F238E27FC236}">
              <a16:creationId xmlns:a16="http://schemas.microsoft.com/office/drawing/2014/main" id="{54C564A2-394C-A9EA-0E71-4AD545D1A2F0}"/>
            </a:ext>
          </a:extLst>
        </xdr:cNvPr>
        <xdr:cNvPicPr>
          <a:picLocks noChangeAspect="1"/>
        </xdr:cNvPicPr>
      </xdr:nvPicPr>
      <xdr:blipFill>
        <a:blip xmlns:r="http://schemas.openxmlformats.org/officeDocument/2006/relationships" r:embed="rId1"/>
        <a:stretch>
          <a:fillRect/>
        </a:stretch>
      </xdr:blipFill>
      <xdr:spPr>
        <a:xfrm>
          <a:off x="5389563" y="21978938"/>
          <a:ext cx="7295744" cy="324930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rc Borrell" id="{68343F63-79DC-4627-8F61-2E0DE49A7225}" userId="8e3d2f50abea0874" providerId="Windows Live"/>
  <person displayName="Edgar Fernández Vidal" id="{5046A748-3AC3-4779-AA80-F8AE56E57EF7}" userId="a57a8ecc8023d875" providerId="Windows Live"/>
</personList>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s>
</rvTypesInfo>
</file>

<file path=xl/richData/rdrichvalue.xml><?xml version="1.0" encoding="utf-8"?>
<rvData xmlns="http://schemas.microsoft.com/office/spreadsheetml/2017/richdata" count="84">
  <rv s="0">
    <v>https://www.bing.com/financeapi/forcetrigger?t=bqvzsm&amp;q=XOSL%3a2020&amp;form=skydnc</v>
    <v>Learn more on Bing</v>
  </rv>
  <rv s="1">
    <v>es-ES</v>
    <v>bqvzsm</v>
    <v>268435456</v>
    <v>1</v>
    <v>Con tecnología de Refinitiv</v>
    <v>0</v>
    <v>1</v>
    <v>2020 Bulkers (XOSL:2020)</v>
    <v>3</v>
    <v>4</v>
    <v>Finance</v>
    <v>5</v>
    <v>XOSL</v>
    <v>22870910</v>
    <v>2017</v>
    <v>157.80000000000001</v>
    <v>0.99439999999999995</v>
    <v>-4.8</v>
    <v>-3.0651000000000001E-2</v>
    <v>3472781000</v>
    <v>156.6</v>
    <v>2020 Bulkers Ltd. is a Bermuda-based owner and operator of large dry bulk vessels. The Company operates a fleet of approximately eight scrubbers fitted with approximately 208,000 deadweight tonnage (DWT) Newcastlemax dry bulk carriers. The Company’s fleets include Bulk Sandefjord, Bulk Santiago, Bulk Seoul, Bulk Shanghai, Bulk Shenzhen, Bulk Sydney, Bulk Sao Paulo, and Bulk Santos.</v>
    <v>6</v>
    <v>XOSL</v>
    <v>45457.666666666664</v>
    <v>Oslo Bors Asa</v>
    <v>0</v>
    <v>157.80000000000001</v>
    <v>174.8</v>
    <v>150.9</v>
    <v>80.45</v>
    <v>NOK</v>
    <v>2020 Bulkers</v>
    <v>2020 Bulkers</v>
    <v>6.0053000000000001</v>
    <v>151.80000000000001</v>
    <v>Freight &amp; Logistics Services</v>
    <v>S.E. Pearman Building, 2nd floor, 9 Par-la-Ville Road, HAMILTON, HM 11 BM</v>
    <v>2020</v>
    <v>Acciones</v>
    <v>2020 Bulkers (XOSL:2020)</v>
    <v>54577</v>
    <v>63540</v>
  </rv>
  <rv s="2">
    <v>1</v>
  </rv>
  <rv s="0">
    <v>https://www.bing.com/financeapi/forcetrigger?t=alsu77&amp;q=XOSL%3aBELCO&amp;form=skydnc</v>
    <v>Learn more on Bing</v>
  </rv>
  <rv s="1">
    <v>es-ES</v>
    <v>alsu77</v>
    <v>268435456</v>
    <v>1</v>
    <v>Con tecnología de Refinitiv</v>
    <v>0</v>
    <v>1</v>
    <v>Belships (XOSL:BELCO)</v>
    <v>3</v>
    <v>4</v>
    <v>Finance</v>
    <v>5</v>
    <v>XOSL</v>
    <v>253136700</v>
    <v>1995</v>
    <v>22.9</v>
    <v>0.91869999999999996</v>
    <v>-0.15</v>
    <v>-6.5649999999999997E-3</v>
    <v>5747820000</v>
    <v>22.85</v>
    <v>Belships ASA is a Norway-based shipping company and is a fully integrated shipowner and operator of dry bulk carriers. The Company provides shipping transportation services in a global market with customers and partners in all parts of the world. Commercial operations are provided by Lighthouse Navigation and the technical management and crewing by Belships Management, both subsidiaries of Belships ASA. The Company’s activities are divided into two business segments: The Dry bulk segment and The Technical management segment. The Company operates worldwide.</v>
    <v>145</v>
    <v>XOSL</v>
    <v>45457.666666666664</v>
    <v>Oslo Bors Asa</v>
    <v>3</v>
    <v>23</v>
    <v>26.2</v>
    <v>22.05</v>
    <v>15.4</v>
    <v>NOK</v>
    <v>Belships</v>
    <v>Belships</v>
    <v>8.8138000000000005</v>
    <v>22.7</v>
    <v>Freight &amp; Logistics Services</v>
    <v>Lilleakerveien 6D, 7th floor, OSLO, OSLO, 0283 NO</v>
    <v>BELCO</v>
    <v>Acciones</v>
    <v>Belships (XOSL:BELCO)</v>
    <v>579000</v>
    <v>324690</v>
  </rv>
  <rv s="2">
    <v>4</v>
  </rv>
  <rv s="0">
    <v>https://www.bing.com/financeapi/forcetrigger?t=a1u2yc&amp;q=XNAS%3aGOGL&amp;form=skydnc</v>
    <v>Learn more on Bing</v>
  </rv>
  <rv s="3">
    <v>es-ES</v>
    <v>a1u2yc</v>
    <v>268435456</v>
    <v>1</v>
    <v>Con tecnología de Refinitiv</v>
    <v>6</v>
    <v>7</v>
    <v>Golden Ocean Grp (XNAS:GOGL)</v>
    <v>3</v>
    <v>8</v>
    <v>Finance</v>
    <v>9</v>
    <v>XNAS</v>
    <v>199628300</v>
    <v>1996</v>
    <v>12.83</v>
    <v>1.1872</v>
    <v>-0.56000000000000005</v>
    <v>0</v>
    <v>-4.1759999999999999E-2</v>
    <v>0</v>
    <v>2565224000</v>
    <v>13.41</v>
    <v xml:space="preserve">Golden Ocean Group Limited is a Bermuda-based international dry bulk shipping company. The Company owns and operates a fleet of dry bulk vessels, comprising Newcastlemax, Capesize, Panamax and Ultramax vessels. Its vessels transport a range of bulk commodities, including ores, coal, grains and fertilizers, along worldwide shipping routes. Its vessels operate in the spot and time charter markets. It owns 81 dry bulk vessels and has construction contracts for seven new buildings. In addition, it has 11 vessels chartered-in (of which seven and one are chartered in on finance leases and operating leases, respectively, from SFL Corporation Ltd. (SFL) and three chartered in on operating leases from unrelated third parties). Six of its vessels are chartered-out on fixed rate time charters, 31 of its vessels are chartered out on index-linked-rate time charters and the remaining 55 vessels operate on the spot market. </v>
    <v>38</v>
    <v>XNAS</v>
    <v>45457.999385856252</v>
    <v>Nasdaq Stock Market</v>
    <v>6</v>
    <v>12.98</v>
    <v>15.77</v>
    <v>12.81</v>
    <v>6.89</v>
    <v>USD</v>
    <v>Golden Ocean Grp</v>
    <v>Golden Ocean Grp</v>
    <v>13.7037</v>
    <v>12.85</v>
    <v>12.85</v>
    <v>Freight &amp; Logistics Services</v>
    <v>Par La Ville Place, 14 Par-La-Ville Road, HAMILTON, HM 08 BM</v>
    <v>GOGL</v>
    <v>Acciones</v>
    <v>Golden Ocean Grp (XNAS:GOGL)</v>
    <v>1516197</v>
    <v>1926711</v>
  </rv>
  <rv s="2">
    <v>7</v>
  </rv>
  <rv s="0">
    <v>https://www.bing.com/financeapi/forcetrigger?t=b15b27&amp;q=XNAS%3aEDRY&amp;form=skydnc</v>
    <v>Learn more on Bing</v>
  </rv>
  <rv s="3">
    <v>es-ES</v>
    <v>b15b27</v>
    <v>268435456</v>
    <v>1</v>
    <v>Con tecnología de Refinitiv</v>
    <v>6</v>
    <v>7</v>
    <v>EuroDry (XNAS:EDRY)</v>
    <v>3</v>
    <v>8</v>
    <v>Finance</v>
    <v>10</v>
    <v>XNAS</v>
    <v>2801630</v>
    <v>2018</v>
    <v>21.05</v>
    <v>0.7732</v>
    <v>-1</v>
    <v>0</v>
    <v>-4.7169999999999997E-2</v>
    <v>0</v>
    <v>56592820</v>
    <v>21.2</v>
    <v>EuroDry Ltd is a Greece-based company which operates in the dry cargo, dry bulk shipping markets. The Company's operations are managed by Eurobulk Ltd an affiliated ship management company and Eurobulk (Far East) Ltd. Inc, which are responsible for the day-to-day commercial and technical management and operations of the vessels. EuroDry Ltd employs its vessels on spot and period charters and through pool arrangements. The Company has a fleet of more than five vessels, including Kamsarmax drybulk carriers, Panamax drybulk carriers and an Ultramax drybulk carrier with a total cargo capacity of approximately 400,000 deadweight tonnage (dwt). The Company's subsidiaries are: Kamsarmax One Shipping Ltd, Kamsarmax Two Shipping Ltd and Eirini Shipping Ltd, among others.</v>
    <v>0</v>
    <v>XNAS</v>
    <v>45457.833345370309</v>
    <v>Nasdaq Stock Market</v>
    <v>9</v>
    <v>21.06</v>
    <v>23.98</v>
    <v>19.7</v>
    <v>13.42</v>
    <v>USD</v>
    <v>EuroDry</v>
    <v>EuroDry</v>
    <v>0</v>
    <v>20.2</v>
    <v>20.2</v>
    <v>Freight &amp; Logistics Services</v>
    <v>4 Messogiou &amp; Evropis Street, ATHINA, ATTIKI, 151 24 GR</v>
    <v>EDRY</v>
    <v>Acciones</v>
    <v>EuroDry (XNAS:EDRY)</v>
    <v>40137</v>
    <v>3938</v>
  </rv>
  <rv s="2">
    <v>10</v>
  </rv>
  <rv s="0">
    <v>https://www.bing.com/financeapi/forcetrigger?t=b1dvxm&amp;q=XNAS%3aGRIN&amp;form=skydnc</v>
    <v>Learn more on Bing</v>
  </rv>
  <rv s="3">
    <v>es-ES</v>
    <v>b1dvxm</v>
    <v>268435456</v>
    <v>1</v>
    <v>Con tecnología de Refinitiv</v>
    <v>6</v>
    <v>7</v>
    <v>Grindrod (XNAS:GRIN)</v>
    <v>3</v>
    <v>8</v>
    <v>Finance</v>
    <v>10</v>
    <v>XNAS</v>
    <v>19685590</v>
    <v>2017</v>
    <v>13.7</v>
    <v>0.63819999999999999</v>
    <v>0.05</v>
    <v>2.1900000000000001E-3</v>
    <v>3.663E-3</v>
    <v>0.03</v>
    <v>269692600</v>
    <v>13.65</v>
    <v>Grindrod Shipping Holdings Ltd. is a Singapore-based shipping company that owns, charters-in and operates a fleet of drybulk carriers. The Company operates the drybulk carriers’ business, which is divided into three segments: Handysize, Supramax/Ultramax, and Others. The drybulk business, which operates under the brand Island View Shipping (IVS), includes a core fleet of approximately 29 vessels, consisting of 14 handysize drybulk carriers and 15 supramax/ultramax drybulk carriers. Its drybulk carriers transport a range of major and minor bulk and breakbulk commodities, including ores, coal, grains, forestry products, steel products, and fertilizers, along worldwide shipping routes and are employed in pools of similarly sized vessels or in the spot market. Its subsidiaries include Comshipco Schiffahrtsagentur GmBH, Grindrod Shipping Pte. Ltd., Grindrod Shipping Services UK Limited, Grindrod Shipping (South Africa) (Pty) Ltd, IM Shipping Pte. Ltd., and IVS Bulk Pte. Ltd., among others.</v>
    <v>1015</v>
    <v>XNAS</v>
    <v>45457.833344455466</v>
    <v>Nasdaq Stock Market</v>
    <v>12</v>
    <v>13.73</v>
    <v>14.19</v>
    <v>13.66</v>
    <v>6.5815000000000001</v>
    <v>USD</v>
    <v>Grindrod</v>
    <v>Grindrod</v>
    <v>0</v>
    <v>13.7</v>
    <v>13.73</v>
    <v>Freight &amp; Logistics Services</v>
    <v>1 TEMASEK AVENUE, MILLENIA TOWER #10-02, 039192 SG</v>
    <v>GRIN</v>
    <v>Acciones</v>
    <v>Grindrod (XNAS:GRIN)</v>
    <v>23987</v>
    <v>9940</v>
  </rv>
  <rv s="2">
    <v>13</v>
  </rv>
  <rv s="0">
    <v>https://www.bing.com/financeapi/forcetrigger?t=a1u1f2&amp;q=XNYS%3aGNK&amp;form=skydnc</v>
    <v>Learn more on Bing</v>
  </rv>
  <rv s="3">
    <v>es-ES</v>
    <v>a1u1f2</v>
    <v>268435456</v>
    <v>1</v>
    <v>Con tecnología de Refinitiv</v>
    <v>6</v>
    <v>7</v>
    <v>GENCO SHIPPING &amp; TRADING LIMITED (XNYS:GNK)</v>
    <v>3</v>
    <v>8</v>
    <v>Finance</v>
    <v>9</v>
    <v>XNYS</v>
    <v>42751750</v>
    <v>2004</v>
    <v>20.88</v>
    <v>0.94950000000000001</v>
    <v>-0.77</v>
    <v>4.8899999999999996E-4</v>
    <v>-3.6287E-2</v>
    <v>0.01</v>
    <v>874273300</v>
    <v>21.22</v>
    <v>GENCO SHIPPING &amp; TRADING LIMITED transporta mineral de hierro, carbón, granos, productos de acero y otras cargas a granel a lo largo de las rutas de envío a través de buques de carga a granel seco propios y en operación. La Compañía se dedica al transporte marítimo de cargas a granel seco en todo el mundo a través de buques de carga a granel propios y en operación. Al 31 de diciembre de 2016, su flota estuvo compuesta por 61 portadores de carga seca, incluyendo 13 buques de tipo Capesize, seis buques de tipo Panamax, cuatro buques de tipo Ultramax, 21 buques de tipo Supramax, dos buques de tipo Handymax y 15 buques de carga a granel seco de tipo Handysize, con una capacidad total de carga de aproximadamente 4.735.000 toneladas de peso muerto. De los buques en su flota, 15 están en fletamento por tiempo relacionadas con el mercado spot y 27 tienen contratos de fletamento por tiempo fijo. Al 31 de diciembre de 2016, adicionalmente, 19 de los buques de su flota operaron en colectivos de buques. Entre sus buques se incluyen Genco Augustus, Genco Claudius, Genco Commodus, Genco London, Baltic Lion, Genco Beauty, Genco Raptor, Genco Thunder y Genco Vigour.</v>
    <v>990</v>
    <v>XNYS</v>
    <v>45457.989107649999</v>
    <v>New York Stock Exchange</v>
    <v>15</v>
    <v>20.9072</v>
    <v>23.43</v>
    <v>20.434999999999999</v>
    <v>12.65</v>
    <v>USD</v>
    <v>GENCO SHIPPING &amp; TRADING LIMITED</v>
    <v>GENCO SHIPPING &amp; TRADING LIMITED</v>
    <v>305.22390000000001</v>
    <v>20.45</v>
    <v>20.46</v>
    <v>Freight &amp; Logistics Services</v>
    <v>299 Park Avenue, 12th Floor, NEW YORK, NY, 10171 US</v>
    <v>GNK</v>
    <v>Acciones</v>
    <v>GENCO SHIPPING &amp; TRADING LIMITED (XNYS:GNK)</v>
    <v>371266</v>
    <v>637213</v>
  </rv>
  <rv s="2">
    <v>16</v>
  </rv>
  <rv s="0">
    <v>https://www.bing.com/financeapi/forcetrigger?t=a1rs7w&amp;q=XNAS%3aEGLE&amp;form=skydnc</v>
    <v>Learn more on Bing</v>
  </rv>
  <rv s="4">
    <v>es-ES</v>
    <v>a1rs7w</v>
    <v>268435456</v>
    <v>1</v>
    <v>1</v>
    <v>Con tecnología de Refinitiv</v>
    <v>0</v>
    <v>11</v>
    <v>Eagle Bulk (XNYS:EGLE)</v>
    <v>3</v>
    <v>12</v>
    <v>Finance</v>
    <v>13</v>
    <v>XNYS</v>
    <v>11027200</v>
    <v>2005</v>
    <v>55.39</v>
    <v>1.4867999999999999</v>
    <v>-0.44</v>
    <v>-7.8659999999999997E-3</v>
    <v>616861300</v>
    <v>55.94</v>
    <v>Eagle Bulk Shipping Inc. is a fully integrated shipowner-operator. The Company provides transportation solutions to a diverse group of customers, including miners, producers, traders and end users. It focused on the versatile midsize dry bulk vessel segment and owns fleets of Supramax/Ultramax vessels in the world. The Company performs all management services in-house (strategic, commercial, operational, technical and administrative) and employs an active management approach to fleet trading with the objective of optimizing revenue performance and maximizing earnings on a risk-managed basis. The Company owns fleet totaled approximately 53 vessels or 3.20 million dwt, with an average age of 9.6 years. In addition, it has charters in five Ultramax vessels on a long-term charter-in basis, each with a remaining lease term of less than one year. The Company also charters-in third-party vessels on a short-to medium-term basis.</v>
    <v>1000</v>
    <v>XNYS</v>
    <v>45336.692893645311</v>
    <v>New York Stock Exchange</v>
    <v>18</v>
    <v>56.15</v>
    <v>67.09</v>
    <v>55.01</v>
    <v>39.15</v>
    <v>USD</v>
    <v>Eagle Bulk</v>
    <v>Eagle Bulk</v>
    <v>25.256799999999998</v>
    <v>55.5</v>
    <v>Freight &amp; Logistics Services</v>
    <v>300 First Stamford Place, 5Th Floor, STAMFORD, CT, 06902 US</v>
    <v>EGLE</v>
    <v>Acciones</v>
    <v>Eagle Bulk (XNYS:EGLE)</v>
    <v>23374</v>
    <v>147092</v>
  </rv>
  <rv s="2">
    <v>19</v>
  </rv>
  <rv s="0">
    <v>https://www.bing.com/financeapi/forcetrigger?t=a22j4c&amp;q=XNAS%3aSBLK&amp;form=skydnc</v>
    <v>Learn more on Bing</v>
  </rv>
  <rv s="3">
    <v>es-ES</v>
    <v>a22j4c</v>
    <v>268435456</v>
    <v>1</v>
    <v>Con tecnología de Refinitiv</v>
    <v>6</v>
    <v>7</v>
    <v>Star Bulk Crirs (XNAS:SBLK)</v>
    <v>3</v>
    <v>8</v>
    <v>Finance</v>
    <v>9</v>
    <v>XNAS</v>
    <v>113810800</v>
    <v>2006</v>
    <v>24.51</v>
    <v>0.9738</v>
    <v>-1.0900000000000001</v>
    <v>1.2620000000000001E-3</v>
    <v>-4.3845999999999996E-2</v>
    <v>0.03</v>
    <v>2705282000</v>
    <v>24.86</v>
    <v>Star Bulk Carriers Corp is a Greece-based global shipping company. The Company owns and operates a diverse fleet of dry bulk vessels that transport bulk commodities, including iron ore, minerals and grain, bauxite, fertilizers and steel products, along worldwide shipping routes. The Company has a fleet of 112 vessels, with an aggregate capacity of 12.5 million dwt, consisting of Newcastlemax, Capesize, Post Panamax, Kamsarmax, Panamax, Ultramax and Supramax vessels with carrying capacities between 53,489 dwt and 209,537 dwt. The Company maintains executive offices in Athens, Greece and in Limassol, Cyprus.</v>
    <v>216</v>
    <v>XNAS</v>
    <v>45457.999818228905</v>
    <v>Nasdaq Stock Market</v>
    <v>21</v>
    <v>24.53</v>
    <v>27.47</v>
    <v>23.73</v>
    <v>16.57</v>
    <v>USD</v>
    <v>Star Bulk Crirs</v>
    <v>Star Bulk Crirs</v>
    <v>10.664</v>
    <v>23.77</v>
    <v>23.8</v>
    <v>Freight &amp; Logistics Services</v>
    <v>40, Agiou Konstantinou Str., Maroussi, ATHINA, ATTIKI, 151 24 GR</v>
    <v>SBLK</v>
    <v>Acciones</v>
    <v>Star Bulk Crirs (XNAS:SBLK)</v>
    <v>1417202</v>
    <v>1686831</v>
  </rv>
  <rv s="2">
    <v>22</v>
  </rv>
  <rv s="0">
    <v>https://www.bing.com/financeapi/forcetrigger?t=a22hyc&amp;q=XNYS%3aSB&amp;form=skydnc</v>
    <v>Learn more on Bing</v>
  </rv>
  <rv s="4">
    <v>es-ES</v>
    <v>a22hyc</v>
    <v>268435456</v>
    <v>1</v>
    <v>0</v>
    <v>Con tecnología de Refinitiv</v>
    <v>0</v>
    <v>11</v>
    <v>Safe Bulkers (XNYS:SB)</v>
    <v>3</v>
    <v>12</v>
    <v>Finance</v>
    <v>13</v>
    <v>XNYS</v>
    <v>111607800</v>
    <v>2007</v>
    <v>4.25</v>
    <v>1.0025999999999999</v>
    <v>-0.06</v>
    <v>-1.4117999999999999E-2</v>
    <v>467636682</v>
    <v>4.25</v>
    <v>Safe Bulkers, Inc. is a holding company. The Company's principal business is the acquisition, ownership and operation of drybulk vessels. The Company's vessels operate across the world, carrying drybulk cargo for the consumers of marine drybulk transportation services. The Company is an international provider of marine drybulk transportation services, transporting bulk cargoes, particularly coal, grain and iron ore, along shipping routes across the world. As of February 17, 2017 the Company's fleet included 38 vessels, of which 14 are Panamax class vessels, nine are Kamsarmax class vessels, 12 are Post-Panamax class vessels and three are Capesize class vessels, with an aggregate carrying capacity of 3,421,800 deadweight tonnage (dwt). The Company's fleet of Post-Panamax vessels includes Marina, Xenia, Sophia, Eleni, Martine, Andreas K, Panayiota K, Venus Heritage, Venus History, Venus Horizon and Troodos Sun. Its fleet of Capesize vessels includes Kanaris, Pelopidas and Lake Despina.</v>
    <v>914</v>
    <v>XNYS</v>
    <v>45336.693217071093</v>
    <v>New York Stock Exchange</v>
    <v>24</v>
    <v>4.2885</v>
    <v>4.4649999999999999</v>
    <v>4.1399999999999997</v>
    <v>2.97</v>
    <v>USD</v>
    <v>Safe Bulkers</v>
    <v>Safe Bulkers</v>
    <v>6.8548</v>
    <v>4.1900000000000004</v>
    <v>Freight &amp; Logistics Services</v>
    <v>Apt. D11, Les Acanthes, 6, Avenue Des Citronniers, MONACO, MC98000 MC</v>
    <v>SB</v>
    <v>Acciones</v>
    <v>Safe Bulkers (XNYS:SB)</v>
    <v>341729</v>
    <v>719584</v>
  </rv>
  <rv s="2">
    <v>25</v>
  </rv>
  <rv s="0">
    <v>https://www.bing.com/financeapi/forcetrigger?t=a1pxvh&amp;q=XNYS%3aCMRE&amp;form=skydnc</v>
    <v>Learn more on Bing</v>
  </rv>
  <rv s="4">
    <v>es-ES</v>
    <v>a1pxvh</v>
    <v>268435456</v>
    <v>1</v>
    <v>0</v>
    <v>Con tecnología de Refinitiv</v>
    <v>0</v>
    <v>11</v>
    <v>Costamare (XNYS:CMRE)</v>
    <v>3</v>
    <v>12</v>
    <v>Finance</v>
    <v>13</v>
    <v>XNYS</v>
    <v>117642400</v>
    <v>2008</v>
    <v>11.21</v>
    <v>1.3648</v>
    <v>-9.01E-2</v>
    <v>-8.0879999999999997E-3</v>
    <v>1299936755</v>
    <v>11.14</v>
    <v>Costamare Inc is a Monaco-based company that provides containerships and dry bulk vessels for charter. The Company is an international shipping industry that offers a fleet of 73 containerships, with a total capacity of approximately 537,000 TEU (including two vessels that have agreed to sell) and 45 dry bulk vessels with a total capacity of approximately 2,436,000 DWT. Its offers containerships of various sizes (including feeder, panamax and post-panamax containerships) serve short, medium, and long-haul routes on a variety of geographical trades. Its dry bulk vessels transport a broad range of bulks such as iron ore, coal, and grains as well as minor bulks such as bauxite, phosphate fertilizers and steel products. The Company serve its customer's needs worldwide and ensure the safety, reliability, and environmental responsibility of services.</v>
    <v>2860</v>
    <v>XNYS</v>
    <v>45336.693040740625</v>
    <v>New York Stock Exchange</v>
    <v>27</v>
    <v>11.23</v>
    <v>11.85</v>
    <v>10.975</v>
    <v>7.71</v>
    <v>USD</v>
    <v>Costamare</v>
    <v>Costamare</v>
    <v>3.0459999999999998</v>
    <v>11.049899999999999</v>
    <v>Freight &amp; Logistics Services</v>
    <v>7 Rue Du Gabian, MONACO, MC98000 MC</v>
    <v>CMRE</v>
    <v>Acciones</v>
    <v>Costamare (XNYS:CMRE)</v>
    <v>197431</v>
    <v>534774</v>
  </rv>
  <rv s="2">
    <v>28</v>
  </rv>
  <rv s="0">
    <v>https://www.bing.com/financeapi/forcetrigger?t=a22w6h&amp;q=XNAS%3aSHIP&amp;form=skydnc</v>
    <v>Learn more on Bing</v>
  </rv>
  <rv s="5">
    <v>es-ES</v>
    <v>a22w6h</v>
    <v>268435456</v>
    <v>1</v>
    <v>0</v>
    <v>Con tecnología de Refinitiv</v>
    <v>14</v>
    <v>15</v>
    <v>Seanergy (XNAS:SHIP)</v>
    <v>3</v>
    <v>16</v>
    <v>Finance</v>
    <v>13</v>
    <v>XNAS</v>
    <v>19648960</v>
    <v>2008</v>
    <v>7.55</v>
    <v>0.81840000000000002</v>
    <v>-0.13300000000000001</v>
    <v>-1.7925E-2</v>
    <v>143181971</v>
    <v>7.42</v>
    <v>Seanergy Maritime Holdings Corp. is an international shipping company. The Company provides marine dry bulk transportation services through the ownership and operation of dry bulk vessels. It owns a modern fleet of seventeen dry bulk carriers, consisting of seventeen Capesizes, with a combined cargo-carrying capacity of approximately 3,011,083 deadweight tonnages (dwt) and an average fleet age of about 11.7 years. Its fleet comprises vessels, including Flagship, Worldship, Gloriuship, Geniuship, Premiership, Squireship, Championship, Lordship, Goodship, and Hellaship, among others. The Company's subsidiaries, which are all, owned by it either directly or indirectly, conduct all of its operations and own all of its operating assets. The Company manages its vessel's operations, insurances and bunkering, and has the general supervision of its third-party technical and commercial managers. V.Ships Limited, which is an independent third party, provides technical management for its vessels.</v>
    <v>67</v>
    <v>XNAS</v>
    <v>45336.692605022654</v>
    <v>Nasdaq Stock Market</v>
    <v>30</v>
    <v>7.55</v>
    <v>8.3299000000000003</v>
    <v>7.11</v>
    <v>4.03</v>
    <v>USD</v>
    <v>Seanergy</v>
    <v>Seanergy</v>
    <v>7.2869999999999999</v>
    <v>Freight &amp; Logistics Services</v>
    <v>16674 Glyfada, 1-3 Patriarchou Grigoriou, ATHINA, ATTIKI, 10673 GR</v>
    <v>SHIP</v>
    <v>Acciones</v>
    <v>Seanergy (XNAS:SHIP)</v>
    <v>82915</v>
    <v>149998</v>
  </rv>
  <rv s="2">
    <v>31</v>
  </rv>
  <rv s="0">
    <v>https://www.bing.com/financeapi/forcetrigger?t=b1uqc7&amp;q=XOSL%3aOET&amp;form=skydnc</v>
    <v>Learn more on Bing</v>
  </rv>
  <rv s="6">
    <v>es-ES</v>
    <v>b1uqc7</v>
    <v>268435456</v>
    <v>1</v>
    <v>Con tecnología de Refinitiv</v>
    <v>17</v>
    <v>18</v>
    <v>Okeanis Eco Tank (XOSL:OET)</v>
    <v>3</v>
    <v>19</v>
    <v>Finance</v>
    <v>5</v>
    <v>XOSL</v>
    <v>32890000</v>
    <v>2018</v>
    <v>332</v>
    <v>0.54269999999999996</v>
    <v>-5.5</v>
    <v>-1.6541E-2</v>
    <v>10758060000</v>
    <v>332.5</v>
    <v>Okeanis Eco Tankers Corp is a Greece-based international tanker company active in the crude oil shipping industry. It is engaged in the operation of and investment in tanker vessels, with the ambition to own, charter out and operate tanker vessels. The Company owns, through its vessel-owning subsidiaries, the SPVs (special purpose vehicles), a fleet of 14 tanker vessels, including 6 Suezmax and 8 VLCC type vessels.</v>
    <v>XOSL</v>
    <v>45457.666666666664</v>
    <v>Oslo Bors Asa</v>
    <v>33</v>
    <v>335</v>
    <v>387</v>
    <v>323.5</v>
    <v>221.5</v>
    <v>NOK</v>
    <v>Okeanis Eco Tank</v>
    <v>Okeanis Eco Tank</v>
    <v>7.2149999999999999</v>
    <v>327</v>
    <v>Oil &amp; Gas Related Equipment and Services</v>
    <v>Ethnarchou Makariou Av, &amp; 2 D. Falireos, C/O Oet Chartering Inc., ATHINA, ATTIKI, 185 47 GR</v>
    <v>OET</v>
    <v>Acciones</v>
    <v>Okeanis Eco Tank (XOSL:OET)</v>
    <v>58113</v>
    <v>55030</v>
  </rv>
  <rv s="2">
    <v>34</v>
  </rv>
  <rv s="0">
    <v>https://www.bing.com/financeapi/forcetrigger?t=a1tcf2&amp;q=XNYS%3aFRO&amp;form=skydnc</v>
    <v>Learn more on Bing</v>
  </rv>
  <rv s="4">
    <v>es-ES</v>
    <v>a1tcf2</v>
    <v>268435456</v>
    <v>1</v>
    <v>0</v>
    <v>Con tecnología de Refinitiv</v>
    <v>0</v>
    <v>11</v>
    <v>FRONTLINE PLC (XNYS:FRO)</v>
    <v>3</v>
    <v>12</v>
    <v>Finance</v>
    <v>13</v>
    <v>XNYS</v>
    <v>222622900</v>
    <v>2022</v>
    <v>23.35</v>
    <v>0.11849999999999999</v>
    <v>0.45</v>
    <v>1.9710999999999999E-2</v>
    <v>5182661112</v>
    <v>22.83</v>
    <v>FRONTLINE PLC es una compañía con sede en Chipre que opera principalmente en el sector del transporte. El enfoque principal de la Compañía es el transporte marítimo de petróleo crudo y productos refinados. La Compañía posee y opera una flota que consta de múltiples buques tanque VLCC, Suezmax y LR2 / Aframax destinados al transporte de petróleo y carga. La Compañía opera en todo el mundo.</v>
    <v>78</v>
    <v>XNYS</v>
    <v>45336.693167858597</v>
    <v>New York Stock Exchange</v>
    <v>36</v>
    <v>23.67</v>
    <v>23.67</v>
    <v>23.1</v>
    <v>13.35</v>
    <v>USD</v>
    <v>FRONTLINE PLC</v>
    <v>FRONTLINE PLC</v>
    <v>6.4919000000000002</v>
    <v>23.28</v>
    <v>Oil &amp; Gas Related Equipment and Services</v>
    <v>John Kennedy, 8 IRIS BUILDING, 7th floor, Flat/Office 740B,, LIMASSOL, 3106 CY</v>
    <v>FRO</v>
    <v>Acciones</v>
    <v>FRONTLINE PLC (XNYS:FRO)</v>
    <v>1587363</v>
    <v>2495320</v>
  </rv>
  <rv s="2">
    <v>37</v>
  </rv>
  <rv s="0">
    <v>https://www.bing.com/financeapi/forcetrigger?t=a1vm6h&amp;q=XNYS%3aINSW&amp;form=skydnc</v>
    <v>Learn more on Bing</v>
  </rv>
  <rv s="4">
    <v>es-ES</v>
    <v>a1vm6h</v>
    <v>268435456</v>
    <v>1</v>
    <v>0</v>
    <v>Con tecnología de Refinitiv</v>
    <v>0</v>
    <v>11</v>
    <v>International Seaways, Inc. (XNYS:INSW)</v>
    <v>3</v>
    <v>12</v>
    <v>Finance</v>
    <v>13</v>
    <v>XNYS</v>
    <v>48909010</v>
    <v>1999</v>
    <v>53.02</v>
    <v>-3.1099999999999999E-2</v>
    <v>-3.0099999999999998E-2</v>
    <v>-5.7499999999999999E-4</v>
    <v>2558914512</v>
    <v>52.35</v>
    <v>INTERNATIONAL SEAWAYS, INC. se dedica al transporte de petróleo crudo y productos petrolíferos en el comercio de bandera internacional. Posee y opera una flota de buques oceánicos. Opera en dos segmentos: Petroleros de Crudo y Transportadores de Productos. El segmento de Petroleros de Crudo incluye el negocio de Encendido de Petroleros de Crudo, que proporciona servicios de apoyo de encendido de buque a buque (STS) y servicio completo de encendido de STS a clientes en las regiones del Golfo de Estados Unidos (USG), el Pacífico de Estados Unidos, Gran Bahama y Panamá. En el servicio de apoyo al gabinete STS, la Empresa proporciona personal y equipos (mangueras y guardabarros) para facilitar la transferencia de carga entre buques marítimos situados uno al lado del otro, ya sea estacionado o en marcha. El segmento de Transporte de Productos consiste en una flota de MRs, LR1s, un LR2 y Handysize que se dedican al transporte de productos refinados del petróleo. Los cargamentos de productos de petróleo refinado se transportan desde las refinerías hasta los mercados de consumo.</v>
    <v>1800</v>
    <v>XNYS</v>
    <v>45336.693239224216</v>
    <v>New York Stock Exchange</v>
    <v>39</v>
    <v>53.26</v>
    <v>54.87</v>
    <v>51.71</v>
    <v>31.7225</v>
    <v>USD</v>
    <v>International Seaways, Inc.</v>
    <v>International Seaways, Inc.</v>
    <v>4.0467000000000004</v>
    <v>52.319899999999997</v>
    <v>Oil &amp; Gas Related Equipment and Services</v>
    <v>600 3rd Ave Fl 39, NEW YORK, NY, 10016-2026 US</v>
    <v>INSW</v>
    <v>Acciones</v>
    <v>International Seaways, Inc. (XNYS:INSW)</v>
    <v>172833</v>
    <v>537474</v>
  </rv>
  <rv s="2">
    <v>40</v>
  </rv>
  <rv s="0">
    <v>https://www.bing.com/financeapi/forcetrigger?t=a24cur&amp;q=XNYS%3aTNK&amp;form=skydnc</v>
    <v>Learn more on Bing</v>
  </rv>
  <rv s="4">
    <v>es-ES</v>
    <v>a24cur</v>
    <v>268435456</v>
    <v>1</v>
    <v>0</v>
    <v>Con tecnología de Refinitiv</v>
    <v>0</v>
    <v>11</v>
    <v>TEEKAY TANKERS LTD. (XNYS:TNK)</v>
    <v>3</v>
    <v>12</v>
    <v>Finance</v>
    <v>13</v>
    <v>XNYS</v>
    <v>34100000</v>
    <v>2007</v>
    <v>58.32</v>
    <v>-0.25340000000000001</v>
    <v>-0.65500000000000003</v>
    <v>-1.1285E-2</v>
    <v>1956828500</v>
    <v>58.04</v>
    <v>Teekay Tankers Ltd. es un proveedor internacional de transporte marítimo para las industrias petroleras. El negocio de la compañía es poseer petroleros de petróleo crudo y productos. La Compañía tiene dos segmentos: Petroleros Convencionales y Transferencia Barco a Barco. Su segmento de petroleros convencionales consiste en la operación de todos sus petroleros, incluidos los empleados en contratos de iluminación de servicio completo. Su segmento Transferencia Barco a Barco consiste en sus servicios de soporte de iluminación, incluidos los proporcionados al segmento de buques tanque convencionales de la Compañía como parte de las operaciones de iluminación de servicio completo y otros servicios relacionados. Sus operaciones son gestionadas por Teekay Tankers Management Services Ltd. que provee a la Compañía con servicios comerciales, técnicos, administrativos, y estrategias. Su flota consiste en aproximadamente 60 embarcaciones (incluidos sobre 10 buques fletados y un transportista de crudo muy grande de propiedad 50% (VLCC)) y aproximadamente seis buques de apoyo de barco a barco.</v>
    <v>0</v>
    <v>XNYS</v>
    <v>45336.693057534372</v>
    <v>New York Stock Exchange</v>
    <v>42</v>
    <v>58.57</v>
    <v>64.42</v>
    <v>56.720399999999998</v>
    <v>35</v>
    <v>USD</v>
    <v>TEEKAY TANKERS LTD.</v>
    <v>TEEKAY TANKERS LTD.</v>
    <v>3.6556999999999999</v>
    <v>57.384999999999998</v>
    <v>Oil &amp; Gas Related Equipment and Services</v>
    <v>C/O Teekay Corporation, 4Th Floor, Belvedere Building, 69 Pitts Bay Road, HAMILTON, HM 08 BM</v>
    <v>TNK</v>
    <v>Acciones</v>
    <v>TEEKAY TANKERS LTD. (XNYS:TNK)</v>
    <v>106602</v>
    <v>495248</v>
  </rv>
  <rv s="2">
    <v>43</v>
  </rv>
  <rv s="0">
    <v>https://www.bing.com/financeapi/forcetrigger?t=a1r1ww&amp;q=XNYS%3aDHT&amp;form=skydnc</v>
    <v>Learn more on Bing</v>
  </rv>
  <rv s="4">
    <v>es-ES</v>
    <v>a1r1ww</v>
    <v>268435456</v>
    <v>1</v>
    <v>0</v>
    <v>Con tecnología de Refinitiv</v>
    <v>0</v>
    <v>11</v>
    <v>DHT HOLDINGS, INC. (XNYS:DHT)</v>
    <v>3</v>
    <v>12</v>
    <v>Finance</v>
    <v>13</v>
    <v>XNYS</v>
    <v>160999500</v>
    <v>2010</v>
    <v>11.435</v>
    <v>-0.34110000000000001</v>
    <v>-0.04</v>
    <v>-3.5399999999999997E-3</v>
    <v>1819295000</v>
    <v>11.3</v>
    <v>DHT HOLDINGS, INC. es una compañía independiente de petroleros. La flota de la Compañía opera a nivel internacional y consta de aproximadamente 26 petroleros en un segmento de buques de transporte de crudo a gran escala (VLCC). La Compañía opera a través de empresas de gestión integrada en Mónaco, Singapur y Noruega. Los VLCC operativos de la Compañía tienen una capacidad de transporte combinada de 8.043.657 toneladas de peso muerto (TPM). Las flotas de VLCC de la Compañía operan en fletamentos por tiempo y en el mercado al contado. Las flotas de la compañía están compuestas por DHT Amazon, DHT Bauhinia, DHT Bronco, DHT China, DHT Colt, DHT Edelweiss, DHT Europe, DHT Falcon, DHT Hawk, DHT Harrier, DHT Jaguar, DHT Leopard, DHT Lion, DHT Lotus, DHT Mustang, DHT Opal, DHT Osprey, DHT Panther, DHT Peony, DHT Puma, DHT Redwood, DHT Scandinavia, DHT Stallion, DHT Sundarbans, DHT Taiga y DHT Tiger.</v>
    <v>1252</v>
    <v>XNYS</v>
    <v>45336.69317788125</v>
    <v>New York Stock Exchange</v>
    <v>45</v>
    <v>11.455</v>
    <v>12.13</v>
    <v>11.145</v>
    <v>7.3</v>
    <v>USD</v>
    <v>DHT HOLDINGS, INC.</v>
    <v>DHT HOLDINGS, INC.</v>
    <v>9.7967999999999993</v>
    <v>11.26</v>
    <v>Oil &amp; Gas Related Equipment and Services</v>
    <v>Clarendon House, 2 Church Street, HAMILTON, HM 11 BM</v>
    <v>DHT</v>
    <v>Acciones</v>
    <v>DHT HOLDINGS, INC. (XNYS:DHT)</v>
    <v>422477</v>
    <v>2126369</v>
  </rv>
  <rv s="2">
    <v>46</v>
  </rv>
  <rv s="0">
    <v>https://www.bing.com/financeapi/forcetrigger?t=a24cxm&amp;q=XNYS%3aTNP&amp;form=skydnc</v>
    <v>Learn more on Bing</v>
  </rv>
  <rv s="4">
    <v>es-ES</v>
    <v>a24cxm</v>
    <v>268435456</v>
    <v>1</v>
    <v>0</v>
    <v>Con tecnología de Refinitiv</v>
    <v>0</v>
    <v>11</v>
    <v>Tsakos Energy (XNYS:TNP)</v>
    <v>3</v>
    <v>12</v>
    <v>Finance</v>
    <v>13</v>
    <v>XNYS</v>
    <v>29505600</v>
    <v>1993</v>
    <v>24.51</v>
    <v>-0.1469</v>
    <v>0.1</v>
    <v>4.1320000000000003E-3</v>
    <v>716986080</v>
    <v>24.2</v>
    <v>Tsakos Energy Navigation Ltd is a Greece-based provider of international seaborne crude oil and petroleum product transportation services. The Company operates through the maritime transportation of liquid energy-related products segment. The Company's fleet consists of 70 vessels, constituting a mix of crude tankers, product tankers, and liquefied natural gas (LNG) carriers, totaling more than 7 million dwt. It includes VLCC, Aframax, Panamax, handysize, handymax tankers, LNG carrier, and DP2 shuttle tankers, which allows the Company to serve its customers' international petroleum product and crude oil transportation needs.</v>
    <v>0</v>
    <v>XNYS</v>
    <v>45336.692987441405</v>
    <v>New York Stock Exchange</v>
    <v>48</v>
    <v>24.51</v>
    <v>25.36</v>
    <v>24.085000000000001</v>
    <v>15.2181</v>
    <v>USD</v>
    <v>Tsakos Energy</v>
    <v>Tsakos Energy</v>
    <v>2.1381000000000001</v>
    <v>24.3</v>
    <v>Oil &amp; Gas Related Equipment and Services</v>
    <v>367 Syngrou Avenue, P. Faliro, ATHINA, ATTIKI, 175 64 GR</v>
    <v>TNP</v>
    <v>Acciones</v>
    <v>Tsakos Energy (XNYS:TNP)</v>
    <v>55246</v>
    <v>267714</v>
  </rv>
  <rv s="2">
    <v>49</v>
  </rv>
  <rv s="0">
    <v>https://www.bing.com/financeapi/forcetrigger?t=a1nsgh&amp;q=XNYS%3aASC&amp;form=skydnc</v>
    <v>Learn more on Bing</v>
  </rv>
  <rv s="4">
    <v>es-ES</v>
    <v>a1nsgh</v>
    <v>268435456</v>
    <v>1</v>
    <v>0</v>
    <v>Con tecnología de Refinitiv</v>
    <v>0</v>
    <v>11</v>
    <v>Ardmore Shipping (XNYS:ASC)</v>
    <v>3</v>
    <v>12</v>
    <v>Finance</v>
    <v>13</v>
    <v>XNYS</v>
    <v>41298850</v>
    <v>2013</v>
    <v>16.579999999999998</v>
    <v>0.4088</v>
    <v>-0.12</v>
    <v>-7.3129999999999992E-3</v>
    <v>672758266</v>
    <v>16.41</v>
    <v>Ardmore Shipping Corporation is engaged in the ownership and operation of product and chemical tankers in worldwide trade. The Company operates through one segment, which is transportation of refined petroleum products and chemicals. The Company provides seaborne transportation of petroleum products and chemicals worldwide to oil majors, national oil companies, oil and chemical traders, and chemical companies, with its fleet of mid-size product and chemical tankers. It provides shipping services to customers through voyage charters, time charters, and commercial pools. It has the global network to support its seafarers and deliver shipping services to its customers. Its vessels include Ardmore Seafarer, Ardmore Exporter, Ardmore Explorer, Ardmore Enterprise, Ardmore Engineer, Ardmore Endurance, Ardmore Endeavour, Ardmore Encounter, Ardmore Seahawk, Ardmore Seavanguard, Ardmore Seavantage, Ardmore Seaventure, Ardmore Chippewa, and Ardmore Seavaliant, among others.</v>
    <v>56</v>
    <v>XNYS</v>
    <v>45336.692756863282</v>
    <v>New York Stock Exchange</v>
    <v>51</v>
    <v>16.588000000000001</v>
    <v>19.405000000000001</v>
    <v>16.22</v>
    <v>11.59</v>
    <v>USD</v>
    <v>Ardmore Shipping</v>
    <v>Ardmore Shipping</v>
    <v>4.9145000000000003</v>
    <v>16.29</v>
    <v>Oil &amp; Gas Related Equipment and Services</v>
    <v>69 Pitts Bay Road, HAMILTON, HM 08 BM</v>
    <v>ASC</v>
    <v>Acciones</v>
    <v>Ardmore Shipping (XNYS:ASC)</v>
    <v>143052</v>
    <v>764542</v>
  </rv>
  <rv s="2">
    <v>52</v>
  </rv>
  <rv s="0">
    <v>https://www.bing.com/financeapi/forcetrigger?t=ajepxm&amp;q=XMIL%3aDIS&amp;form=skydnc</v>
    <v>Learn more on Bing</v>
  </rv>
  <rv s="4">
    <v>es-ES</v>
    <v>ajepxm</v>
    <v>268435456</v>
    <v>1</v>
    <v>0</v>
    <v>Con tecnología de Refinitiv</v>
    <v>0</v>
    <v>11</v>
    <v>d'Amico International Shipping SA (XMIL:DIS)</v>
    <v>3</v>
    <v>20</v>
    <v>Finance</v>
    <v>21</v>
    <v>XMIL</v>
    <v>124106600</v>
    <v>2007</v>
    <v>6.14</v>
    <v>0.7611</v>
    <v>0.1</v>
    <v>1.6393000000000001E-2</v>
    <v>757050000</v>
    <v>6.1</v>
    <v>d'Amico International Shipping SA es una empresa con sede en Luxemburgo de transporte marítimo internacional. d'Amico International Shipping SA es parte del Grupo d'Amico. La Compañía invierte en empresas que operan en la industria naviera y su actividad principal es actuar como sociedad holding de d'Amico Tankers Limited y sus subsidiarias, y Glenda International Shipping Ltd. Los camiones cisterna transportan principalmente productos refinados del petróleo, típicamente gasolina, aviones. combustible, queroseno, fueloil, nafta y otros productos químicos blandos y aceites comestibles. Dentro de la industria de buques cisterna de productos, d'Amico International Shipping SA opera en el segmento de mediano alcance, que comprende buques que van desde 25.000 toneladas de peso muerto (TPM) hasta 55.000 TPM.</v>
    <v>628</v>
    <v>XMIL</v>
    <v>45336.682372685187</v>
    <v>Borsa Italiana</v>
    <v>54</v>
    <v>6.24</v>
    <v>6.56</v>
    <v>6.0750000000000002</v>
    <v>3.22</v>
    <v>EUR</v>
    <v>d'Amico International Shipping SA</v>
    <v>d'Amico International Shipping SA</v>
    <v>3.5546000000000002</v>
    <v>6.2</v>
    <v>Oil &amp; Gas Related Equipment and Services</v>
    <v>25 C Boulevard Royal - 11th floor, LUXEMBOURG, LUXEMBOURG-NA, 2449 LU</v>
    <v>DIS</v>
    <v>Acciones</v>
    <v>d'Amico International Shipping SA (XMIL:DIS)</v>
    <v>113280</v>
    <v>262590</v>
  </rv>
  <rv s="2">
    <v>55</v>
  </rv>
  <rv s="0">
    <v>https://www.bing.com/financeapi/forcetrigger?t=az5iw7&amp;q=XNAS%3aTRMD&amp;form=skydnc</v>
    <v>Learn more on Bing</v>
  </rv>
  <rv s="4">
    <v>es-ES</v>
    <v>az5iw7</v>
    <v>268435456</v>
    <v>1</v>
    <v>0</v>
    <v>Con tecnología de Refinitiv</v>
    <v>0</v>
    <v>11</v>
    <v>TORM (XNAS:TRMD)</v>
    <v>3</v>
    <v>22</v>
    <v>Finance</v>
    <v>13</v>
    <v>XNAS</v>
    <v>90729340</v>
    <v>2015</v>
    <v>34.549999999999997</v>
    <v>0.34670000000000001</v>
    <v>0.14000000000000001</v>
    <v>4.1089999999999998E-3</v>
    <v>21466560000</v>
    <v>34.07</v>
    <v>TORM plc is a United Kingdom-based shipping company. The Company owns and operates a fleet of product tankers. The Company’s segments include the Tanker segment, for which the services provided primarily comprise transportation of refined oil products, such as gasoline, jet fuel, and naphtha, and the Marine Exhaust segment, for which the services provided primarily comprise developing and producing advanced and green marine equipment. The Company’s wholly owned fleet of around 80 vessels is specifically configured to move energy and clean petroleum products from refineries to their customers. With vessels varying in size from 45,000 - 115,000 deadweight tonnage (DWT), it offers a range of product tankers. It is present in all large vessel classes in the product tanker market, with specific focus on the LR2, LR1, and MR vessel classes. Its vessels include TORM Hannah, TORM Hellerup, TORM Helene, TORM Hermia, TORM Estrid, TORM Sara, TORM Adventurer, TORM Agnes, TORM Agnete and others.</v>
    <v>446</v>
    <v>XNAS</v>
    <v>45336.692432568751</v>
    <v>Nasdaq Stock Market</v>
    <v>57</v>
    <v>34.844999999999999</v>
    <v>37.11</v>
    <v>33.97</v>
    <v>22.31</v>
    <v>USD</v>
    <v>TORM</v>
    <v>TORM</v>
    <v>4.0162000000000004</v>
    <v>34.21</v>
    <v>Oil &amp; Gas Related Equipment and Services</v>
    <v>Office 105, 20 St Dunstan's Hill, LONDON, UNITED KINGDOM-NA, EC3R 8HL GB</v>
    <v>TRMD</v>
    <v>Acciones</v>
    <v>TORM (XNAS:TRMD)</v>
    <v>196591</v>
    <v>732537</v>
  </rv>
  <rv s="2">
    <v>58</v>
  </rv>
  <rv s="0">
    <v>https://www.bing.com/financeapi/forcetrigger?t=a23pw7&amp;q=XNYS%3aSTNG&amp;form=skydnc</v>
    <v>Learn more on Bing</v>
  </rv>
  <rv s="4">
    <v>es-ES</v>
    <v>a23pw7</v>
    <v>268435456</v>
    <v>1</v>
    <v>0</v>
    <v>Con tecnología de Refinitiv</v>
    <v>0</v>
    <v>11</v>
    <v>SCORPIO TANKERS INC. (XNYS:STNG)</v>
    <v>3</v>
    <v>12</v>
    <v>Finance</v>
    <v>13</v>
    <v>XNYS</v>
    <v>53107770</v>
    <v>2009</v>
    <v>67.81</v>
    <v>0.2157</v>
    <v>-1.1000000000000001</v>
    <v>-1.6310999999999999E-2</v>
    <v>3523169461</v>
    <v>67.44</v>
    <v>Scorpio Tankers Inc (Scorpio Tankers) es una empresa con sede en Mónaco que opera en el sector del transporte de petróleo. La Empresa se dedica al transporte marítimo de productos petrolíferos refinados en los mercados marítimos internacionales. Scorpio Tankers opera a través de cuatro segmentos: Handymax, MR (Medium Range), Long Range 1 (LR1)/Panamax y Long Range 2 (LR2)/Aframax. Cada uno de los segmentos de la Empresa representa un tipo diferente de buque con el que opera, siendo el número total de buques de unos 110. Handymax representa el tipo de buque más pequeño con el que opera la Empresa, seguido de MR, LR1 y LR2 que son los más grandes. La Empresa opera con buques de su propiedad, así como de financiación alquilada o fletada.</v>
    <v>24</v>
    <v>XNYS</v>
    <v>45336.693238772656</v>
    <v>New York Stock Exchange</v>
    <v>60</v>
    <v>68.89</v>
    <v>72.89</v>
    <v>65.004999999999995</v>
    <v>40.340000000000003</v>
    <v>USD</v>
    <v>SCORPIO TANKERS INC.</v>
    <v>SCORPIO TANKERS INC.</v>
    <v>5.6699000000000002</v>
    <v>66.34</v>
    <v>Oil &amp; Gas Related Equipment and Services</v>
    <v>L'exotique 99 Boulevard Jardin Exotique, MONACO, 98000 MC</v>
    <v>STNG</v>
    <v>Acciones</v>
    <v>SCORPIO TANKERS INC. (XNYS:STNG)</v>
    <v>926089</v>
    <v>1612009</v>
  </rv>
  <rv s="2">
    <v>61</v>
  </rv>
  <rv s="0">
    <v>https://www.bing.com/financeapi/forcetrigger?t=bti51h&amp;q=OTCM%3aHFIAF&amp;form=skydnc</v>
    <v>Learn more on Bing</v>
  </rv>
  <rv s="3">
    <v>es-ES</v>
    <v>bti51h</v>
    <v>268435456</v>
    <v>1</v>
    <v>Con tecnología de Refinitiv</v>
    <v>6</v>
    <v>7</v>
    <v>Hafnia Ltd (XNYS:HAFN)</v>
    <v>3</v>
    <v>23</v>
    <v>Finance</v>
    <v>9</v>
    <v>XNYS</v>
    <v>510251700</v>
    <v>2014</v>
    <v>7.4</v>
    <v>0.84430000000000005</v>
    <v>-0.15</v>
    <v>0</v>
    <v>-1.9633999999999999E-2</v>
    <v>0</v>
    <v>40652990000</v>
    <v>7.64</v>
    <v>Hafnia Limited is an investment holding company. The Company is an operator of products and chemical tankers. The Company offers a fully integrated shipping platform, including technical management, commercial and chartering services, pool management, and a large-scale bunker desk. The Company segments include Long Range II (LR2), Long Range I (LR1), Medium Range (MR), and Handy size (Handy), Chemical Stainless, and Specialized. The LR2 segment consists of vessels between 85,000 deadweight tons (DWT) and 124,999 DWT in size and provides transportation of clean petroleum oil products. The LR1 segment consists of vessels between 55,000 DWT and 84,999 DWT in size and provides transportation of clean and dirty petroleum products. The MR segment consists of vessels between 40,000 DWT and 54,999 DWT in size and provides transportation of clean and dirty oil products, vegetable oil and easy chemicals. The Specialized segment consists of vessels between 5,000 DWT 19,999 DWT in size.</v>
    <v>5040</v>
    <v>XNYS</v>
    <v>45457.958333344533</v>
    <v>New York Stock Exchange</v>
    <v>63</v>
    <v>7.556</v>
    <v>8.99</v>
    <v>7.4</v>
    <v>4.66</v>
    <v>USD</v>
    <v>Hafnia Ltd</v>
    <v>Hafnia Ltd</v>
    <v>5.0312000000000001</v>
    <v>7.49</v>
    <v>7.49</v>
    <v>Oil &amp; Gas Related Equipment and Services</v>
    <v>MAPLETREE BUSINESS CITY #18-01, 10 PASIR PANJANG ROAD, 117438, 117438 SG</v>
    <v>HAFN</v>
    <v>Acciones</v>
    <v>Hafnia Ltd (XNYS:HAFN)</v>
    <v>495142</v>
    <v>401141</v>
  </rv>
  <rv s="2">
    <v>64</v>
  </rv>
  <rv s="0">
    <v>https://www.bing.com/financeapi/forcetrigger?t=bxfn9c&amp;q=XNYS%3aZIM&amp;form=skydnc</v>
    <v>Learn more on Bing</v>
  </rv>
  <rv s="7">
    <v>es-ES</v>
    <v>bxfn9c</v>
    <v>268435456</v>
    <v>1</v>
    <v>Con tecnología de Refinitiv</v>
    <v>24</v>
    <v>25</v>
    <v>ZIM Integrated (XNYS:ZIM)</v>
    <v>3</v>
    <v>26</v>
    <v>Finance</v>
    <v>9</v>
    <v>XNYS</v>
    <v>120320800</v>
    <v>1945</v>
    <v>18.55</v>
    <v>1.7404999999999999</v>
    <v>-0.24</v>
    <v>2.6979999999999999E-3</v>
    <v>-1.2785999999999999E-2</v>
    <v>0.05</v>
    <v>2229544000</v>
    <v>18.77</v>
    <v xml:space="preserve">Zim Integrated Shipping Services Ltd is an Israel-based company. It operates as fleet and a network of shipping lines offering cargo transportation services on all major global trade routes, it also offers multi-modal, cargo handling, tariff management, schedule information, and other related services supported by the company's local offices and representatives around the world. </v>
    <v>4778</v>
    <v>XNYS</v>
    <v>45457.999580300784</v>
    <v>New York Stock Exchange</v>
    <v>66</v>
    <v>19.049499999999998</v>
    <v>23.82</v>
    <v>18.5</v>
    <v>6.39</v>
    <v>USD</v>
    <v>ZIM Integrated</v>
    <v>ZIM Integrated</v>
    <v>18.53</v>
    <v>18.579999999999998</v>
    <v>Freight &amp; Logistics Services</v>
    <v>9 Andrei Sakharov Street, P.O. Box 15067, HAIFA, 3190500 IL</v>
    <v>ZIM</v>
    <v>Acciones</v>
    <v>ZIM Integrated (XNYS:ZIM)</v>
    <v>3973392</v>
    <v>7995654</v>
  </rv>
  <rv s="2">
    <v>67</v>
  </rv>
  <rv s="0">
    <v>https://www.bing.com/financeapi/forcetrigger?t=a1qpz2&amp;q=XNYS%3aDAC&amp;form=skydnc</v>
    <v>Learn more on Bing</v>
  </rv>
  <rv s="3">
    <v>es-ES</v>
    <v>a1qpz2</v>
    <v>268435456</v>
    <v>1</v>
    <v>Con tecnología de Refinitiv</v>
    <v>6</v>
    <v>7</v>
    <v>Danaos (XNYS:DAC)</v>
    <v>3</v>
    <v>8</v>
    <v>Finance</v>
    <v>9</v>
    <v>XNYS</v>
    <v>19360800</v>
    <v>2005</v>
    <v>91.45</v>
    <v>1.5175000000000001</v>
    <v>-2.1</v>
    <v>1.108E-4</v>
    <v>-2.2736999999999997E-2</v>
    <v>0.01</v>
    <v>1747506000</v>
    <v>92.36</v>
    <v>Danaos Corporation is a holding company and an international owner of containerships, chartering its vessels to a range of liner companies. The Company's principal business is the acquisition and operation of vessels. The Company conducts its operations through the vessel owning companies, whose principal activity is the ownership and operation of containerships that are under the management of a related party of the company. The Company's manager is Danaos Shipping Company Limited (Danaos Shipping). The Company has a fleet of over 50 containerships aggregating approximately 329,590 twenty-foot equivalent units (TEUs). Its containership fleet includes approximately 53 containerships deployed on time charters and approximately two containerships deployed on bareboat charter. Gemini Shipholdings Corporation (Gemini), a company beneficially owned by the Company, owns approximately four additional containerships of over 24,000 TEU aggregate capacity.</v>
    <v>1718</v>
    <v>XNYS</v>
    <v>45457.958333356248</v>
    <v>New York Stock Exchange</v>
    <v>69</v>
    <v>91.515000000000001</v>
    <v>98.25</v>
    <v>89.688000000000002</v>
    <v>62.37</v>
    <v>USD</v>
    <v>Danaos</v>
    <v>Danaos</v>
    <v>3.0640999999999998</v>
    <v>90.26</v>
    <v>90.27</v>
    <v>Freight &amp; Logistics Services</v>
    <v>14 Akti Kondyli, Piraeus, ATHINA, ATTIKI, 185 45 GR</v>
    <v>DAC</v>
    <v>Acciones</v>
    <v>Danaos (XNYS:DAC)</v>
    <v>131402</v>
    <v>140149</v>
  </rv>
  <rv s="2">
    <v>70</v>
  </rv>
  <rv s="0">
    <v>https://www.bing.com/financeapi/forcetrigger?t=a1u9c7&amp;q=XNYS%3aGSL&amp;form=skydnc</v>
    <v>Learn more on Bing</v>
  </rv>
  <rv s="4">
    <v>es-ES</v>
    <v>a1u9c7</v>
    <v>268435456</v>
    <v>1</v>
    <v>0</v>
    <v>Con tecnología de Refinitiv</v>
    <v>0</v>
    <v>11</v>
    <v>GSL (XNYS:GSL)</v>
    <v>3</v>
    <v>12</v>
    <v>Finance</v>
    <v>13</v>
    <v>XNYS</v>
    <v>35192030</v>
    <v>2008</v>
    <v>20.38</v>
    <v>1.53</v>
    <v>-0.13</v>
    <v>-6.3509999999999999E-3</v>
    <v>715805890</v>
    <v>20.47</v>
    <v>Global Ship Lease, Inc. is a United Kingdom-based containership owner, leasing ships to container shipping companies under industry-standard, fixed-rate time charters. The Company focuses on mid-size Post-Panamax and smaller containerships. As a containership owner, its business is both procyclical with chartered tonnage and counter-cyclical with sale and lease-back structures. The Company owns 68 containerships, ranging from 2,207 to 11,040 TEU, with a combined capacity of 375,406 TEU. 36 ships are wide beam Post-Panamax. The mix of ship sizes within its fleet provides flexibility to deploy its vessels on a range of trading routes. Its portfolio of vessels includes CMA CGM Thalassa, ZIM Norfolk, Anthea Y, ZIM Xiamen, MSC Tianjin, MSC Qingdao, GSL Ningbo, GSL Alexandra, GSL Effie, GSL Lydia, GSL Sofia, GSL Kalliopi, GSL Grania, GSL Eleni, Mary, Kristina, Katherine, Alexandra, Alexis, Olivia I, CMA CGM Berlioz, Agios Dimitrios, and GSL Christel Elisabeth, among others.</v>
    <v>7</v>
    <v>XNYS</v>
    <v>45336.692444513283</v>
    <v>New York Stock Exchange</v>
    <v>72</v>
    <v>20.574999999999999</v>
    <v>21.939499999999999</v>
    <v>20.239999999999998</v>
    <v>16.8</v>
    <v>USD</v>
    <v>GSL</v>
    <v>GSL</v>
    <v>2.4504000000000001</v>
    <v>20.34</v>
    <v>Freight &amp; Logistics Services</v>
    <v>25 Wilton Road, LONDON, UNITED KINGDOM-NA, SW1V 1LW GB</v>
    <v>GSL</v>
    <v>Acciones</v>
    <v>GSL (XNYS:GSL)</v>
    <v>120780</v>
    <v>495424</v>
  </rv>
  <rv s="2">
    <v>73</v>
  </rv>
  <rv s="8">
    <v>es-ES</v>
    <v>avnmgh</v>
    <v>268435456</v>
    <v>1</v>
    <v>0</v>
    <v>Con tecnología de Refinitiv</v>
    <v>27</v>
    <v>28</v>
    <v>NOK/USD</v>
    <v>29</v>
    <v>30</v>
    <v>Finance</v>
    <v>31</v>
    <v>9.357E-2</v>
    <v>7.6000000000000004E-4</v>
    <v>8.1150000000000007E-3</v>
    <v>9.3649999999999997E-2</v>
    <v>NOK</v>
    <v>45336.694525462961</v>
    <v>9.4589999999999994E-2</v>
    <v>0.1007</v>
    <v>9.3579999999999997E-2</v>
    <v>8.7669999999999998E-2</v>
    <v>USD</v>
    <v>Norwegian Krone/US Dollar FX Cross Rate</v>
    <v>9.4409999999999994E-2</v>
    <v>NOKUSD</v>
    <v>Par de divisa</v>
    <v>NOK/USD</v>
  </rv>
  <rv s="2">
    <v>75</v>
  </rv>
  <rv s="9">
    <v>en-GB</v>
    <v>av932w</v>
    <v>268435456</v>
    <v>1</v>
    <v>0</v>
    <v>Powered by Refinitiv</v>
    <v>32</v>
    <v>EUR/USD</v>
    <v>29</v>
    <v>33</v>
    <v>Finance</v>
    <v>34</v>
    <v>1.1274999999999999</v>
    <v>1.0447</v>
    <v>5.9999999999999995E-4</v>
    <v>5.5679999999999998E-4</v>
    <v>USD</v>
    <v>EUR</v>
    <v>Currency Pair</v>
    <v>45331.916655092595</v>
    <v>Euro/US Dollar FX Spot Rate</v>
    <v>1.0775999999999999</v>
    <v>1.0782</v>
    <v>EURUSD</v>
    <v>EUR/USD</v>
  </rv>
  <rv s="2">
    <v>77</v>
  </rv>
  <rv s="10">
    <v>en-GB</v>
    <v>bti51h</v>
    <v>268435456</v>
    <v>1</v>
    <v>Powered by Refinitiv</v>
    <v>35</v>
    <v>Hafnia Limited (XNYS:HAFN)</v>
    <v>3</v>
    <v>36</v>
    <v>Finance</v>
    <v>37</v>
    <v>8.99</v>
    <v>4.66</v>
    <v>0.84430000000000005</v>
    <v>-0.15</v>
    <v>0</v>
    <v>-1.9633999999999999E-2</v>
    <v>0</v>
    <v>USD</v>
    <v>Hafnia Limited is an investment holding company. The Company is an operator of products and chemical tankers. The Company offers a fully integrated shipping platform, including technical management, commercial and chartering services, pool management, and a large-scale bunker desk. The Company segments include Long Range II (LR2), Long Range I (LR1), Medium Range (MR), and Handy size (Handy), Chemical Stainless, and Specialized. The LR2 segment consists of vessels between 85,000 deadweight tons (DWT) and 124,999 DWT in size and provides transportation of clean petroleum oil products. The LR1 segment consists of vessels between 55,000 DWT and 84,999 DWT in size and provides transportation of clean and dirty petroleum products. The MR segment consists of vessels between 40,000 DWT and 54,999 DWT in size and provides transportation of clean and dirty oil products, vegetable oil and easy chemicals. The Specialized segment consists of vessels between 5,000 DWT 19,999 DWT in size.</v>
    <v>5040</v>
    <v>New York Stock Exchange</v>
    <v>XNYS</v>
    <v>XNYS</v>
    <v>MAPLETREE BUSINESS CITY #18-01, 10 PASIR PANJANG ROAD, 117438, 117438 SG</v>
    <v>7.556</v>
    <v>Oil &amp; Gas Related Equipment and Services</v>
    <v>Stock</v>
    <v>45457.958333344533</v>
    <v>63</v>
    <v>7.4</v>
    <v>40652990000</v>
    <v>Hafnia Limited</v>
    <v>Hafnia Limited</v>
    <v>7.4</v>
    <v>5.0312000000000001</v>
    <v>7.64</v>
    <v>7.49</v>
    <v>7.49</v>
    <v>510251700</v>
    <v>HAFN</v>
    <v>Hafnia Limited (XNYS:HAFN)</v>
    <v>495142</v>
    <v>401141</v>
    <v>2014</v>
  </rv>
  <rv s="2">
    <v>79</v>
  </rv>
  <rv s="0">
    <v>https://www.bing.com/financeapi/forcetrigger?t=bu772w&amp;q=OTCM%3aOKENF&amp;form=skydnc</v>
    <v>Learn more on Bing</v>
  </rv>
  <rv s="11">
    <v>es-ES</v>
    <v>bu772w</v>
    <v>268435456</v>
    <v>1</v>
    <v>0</v>
    <v>Con tecnología de Refinitiv</v>
    <v>17</v>
    <v>38</v>
    <v>Okeanis Eco Tank (XNYS:ECO)</v>
    <v>3</v>
    <v>39</v>
    <v>Finance</v>
    <v>13</v>
    <v>XNYS</v>
    <v>32890000</v>
    <v>2018</v>
    <v>30.04</v>
    <v>0.49299999999999999</v>
    <v>0.55000000000000004</v>
    <v>1.8346000000000001E-2</v>
    <v>10327460000</v>
    <v>29.98</v>
    <v>Okeanis Eco Tankers Corp is a Greece-based international tanker company active in the crude oil shipping industry. It is engaged in the operation of and investment in tanker vessels, with the ambition to own, charter out and operate tanker vessels. The Company owns, through its vessel-owning subsidiaries, the SPVs (special purpose vehicles), a fleet of 14 tanker vessels, including 6 Suezmax and 8 VLCC type vessels.</v>
    <v>XNYS</v>
    <v>45372.821377928121</v>
    <v>New York Stock Exchange</v>
    <v>81</v>
    <v>30.547999999999998</v>
    <v>32.46</v>
    <v>29.98</v>
    <v>20</v>
    <v>USD</v>
    <v>Okeanis Eco Tank</v>
    <v>Okeanis Eco Tank</v>
    <v>6.6622000000000003</v>
    <v>30.53</v>
    <v>Oil &amp; Gas Related Equipment and Services</v>
    <v>Ethnarchou Makariou Av, &amp; 2 D. Falireos, C/O Oet Chartering Inc., ATHINA, ATTIKI, 185 47 GR</v>
    <v>ECO</v>
    <v>Acciones</v>
    <v>Okeanis Eco Tank (XNYS:ECO)</v>
    <v>32777</v>
    <v>72836</v>
  </rv>
  <rv s="2">
    <v>82</v>
  </rv>
</rvData>
</file>

<file path=xl/richData/rdrichvaluestructure.xml><?xml version="1.0" encoding="utf-8"?>
<rvStructures xmlns="http://schemas.microsoft.com/office/spreadsheetml/2017/richdata" count="12">
  <s t="_hyperlink">
    <k n="Address" t="s"/>
    <k n="Text" t="s"/>
  </s>
  <s t="_linkedentitycore">
    <k n="%EntityCulture" t="s"/>
    <k n="%EntityId" t="s"/>
    <k n="%EntityServiceId"/>
    <k n="%IsRefreshable" t="b"/>
    <k n="%ProviderInfo" t="s"/>
    <k n="_CanonicalPropertyNames" t="spb"/>
    <k n="_Display" t="spb"/>
    <k n="_DisplayString" t="s"/>
    <k n="_Flags" t="spb"/>
    <k n="_Format" t="spb"/>
    <k n="_Icon" t="s"/>
    <k n="_SubLabel" t="spb"/>
    <k n="Abreviatura de intercambio" t="s"/>
    <k n="Acciones en circulación"/>
    <k n="Año de constitución"/>
    <k n="Apertura"/>
    <k n="Beta"/>
    <k n="Cambio"/>
    <k n="Cambio (%)"/>
    <k n="Capitalización de mercado"/>
    <k n="Cierre anterior"/>
    <k n="Descripción" t="s"/>
    <k n="Empleados"/>
    <k n="ExchangeID" t="s"/>
    <k n="Hora de la última operación"/>
    <k n="Intercambio" t="s"/>
    <k n="LearnMoreOnLink" t="r"/>
    <k n="Máximo"/>
    <k n="Máximo en 52 semanas"/>
    <k n="Mínimo"/>
    <k n="Mínimo en 52 semanas"/>
    <k n="Moneda" t="s"/>
    <k n="Nombre" t="s"/>
    <k n="Nombre oficial" t="s"/>
    <k n="P/I"/>
    <k n="Precio"/>
    <k n="Sector" t="s"/>
    <k n="Sede central" t="s"/>
    <k n="Símbolo bursátil" t="s"/>
    <k n="Tipo de instrumento" t="s"/>
    <k n="UniqueName" t="s"/>
    <k n="Volumen"/>
    <k n="Volumen promedio"/>
  </s>
  <s t="_linkedentity">
    <k n="%cvi" t="r"/>
  </s>
  <s t="_linkedentitycore">
    <k n="%EntityCulture" t="s"/>
    <k n="%EntityId" t="s"/>
    <k n="%EntityServiceId"/>
    <k n="%IsRefreshable" t="b"/>
    <k n="%ProviderInfo" t="s"/>
    <k n="_CanonicalPropertyNames" t="spb"/>
    <k n="_Display" t="spb"/>
    <k n="_DisplayString" t="s"/>
    <k n="_Flags" t="spb"/>
    <k n="_Format" t="spb"/>
    <k n="_Icon" t="s"/>
    <k n="_SubLabel" t="spb"/>
    <k n="Abreviatura de intercambio" t="s"/>
    <k n="Acciones en circulación"/>
    <k n="Año de constitución"/>
    <k n="Apertura"/>
    <k n="Beta"/>
    <k n="Cambio"/>
    <k n="Cambio % (horario ampliado)"/>
    <k n="Cambio (%)"/>
    <k n="Cambio (horario ampliado)"/>
    <k n="Capitalización de mercado"/>
    <k n="Cierre anterior"/>
    <k n="Descripción" t="s"/>
    <k n="Empleados"/>
    <k n="ExchangeID" t="s"/>
    <k n="Hora de la última operación"/>
    <k n="Intercambio" t="s"/>
    <k n="LearnMoreOnLink" t="r"/>
    <k n="Máximo"/>
    <k n="Máximo en 52 semanas"/>
    <k n="Mínimo"/>
    <k n="Mínimo en 52 semanas"/>
    <k n="Moneda" t="s"/>
    <k n="Nombre" t="s"/>
    <k n="Nombre oficial" t="s"/>
    <k n="P/I"/>
    <k n="Precio"/>
    <k n="Precio (horario ampliado)"/>
    <k n="Sector" t="s"/>
    <k n="Sede central" t="s"/>
    <k n="Símbolo bursátil" t="s"/>
    <k n="Tipo de instrumento" t="s"/>
    <k n="UniqueName" t="s"/>
    <k n="Volumen"/>
    <k n="Volumen promedio"/>
  </s>
  <s t="_linkedentitycore">
    <k n="%EntityCulture" t="s"/>
    <k n="%EntityId" t="s"/>
    <k n="%EntityServiceId"/>
    <k n="%IsRefreshable" t="b"/>
    <k n="%OutdatedReason" t="i"/>
    <k n="%ProviderInfo" t="s"/>
    <k n="_CanonicalPropertyNames" t="spb"/>
    <k n="_Display" t="spb"/>
    <k n="_DisplayString" t="s"/>
    <k n="_Flags" t="spb"/>
    <k n="_Format" t="spb"/>
    <k n="_Icon" t="s"/>
    <k n="_SubLabel" t="spb"/>
    <k n="Abreviatura de intercambio" t="s"/>
    <k n="Acciones en circulación"/>
    <k n="Año de constitución"/>
    <k n="Apertura"/>
    <k n="Beta"/>
    <k n="Cambio"/>
    <k n="Cambio (%)"/>
    <k n="Capitalización de mercado"/>
    <k n="Cierre anterior"/>
    <k n="Descripción" t="s"/>
    <k n="Empleados"/>
    <k n="ExchangeID" t="s"/>
    <k n="Hora de la última operación"/>
    <k n="Intercambio" t="s"/>
    <k n="LearnMoreOnLink" t="r"/>
    <k n="Máximo"/>
    <k n="Máximo en 52 semanas"/>
    <k n="Mínimo"/>
    <k n="Mínimo en 52 semanas"/>
    <k n="Moneda" t="s"/>
    <k n="Nombre" t="s"/>
    <k n="Nombre oficial" t="s"/>
    <k n="P/I"/>
    <k n="Precio"/>
    <k n="Sector" t="s"/>
    <k n="Sede central" t="s"/>
    <k n="Símbolo bursátil" t="s"/>
    <k n="Tipo de instrumento" t="s"/>
    <k n="UniqueName" t="s"/>
    <k n="Volumen"/>
    <k n="Volumen promedio"/>
  </s>
  <s t="_linkedentitycore">
    <k n="%EntityCulture" t="s"/>
    <k n="%EntityId" t="s"/>
    <k n="%EntityServiceId"/>
    <k n="%IsRefreshable" t="b"/>
    <k n="%OutdatedReason" t="i"/>
    <k n="%ProviderInfo" t="s"/>
    <k n="_CanonicalPropertyNames" t="spb"/>
    <k n="_Display" t="spb"/>
    <k n="_DisplayString" t="s"/>
    <k n="_Flags" t="spb"/>
    <k n="_Format" t="spb"/>
    <k n="_Icon" t="s"/>
    <k n="_SubLabel" t="spb"/>
    <k n="Abreviatura de intercambio" t="s"/>
    <k n="Acciones en circulación"/>
    <k n="Año de constitución"/>
    <k n="Apertura"/>
    <k n="Beta"/>
    <k n="Cambio"/>
    <k n="Cambio (%)"/>
    <k n="Capitalización de mercado"/>
    <k n="Cierre anterior"/>
    <k n="Descripción" t="s"/>
    <k n="Empleados"/>
    <k n="ExchangeID" t="s"/>
    <k n="Hora de la última operación"/>
    <k n="Intercambio" t="s"/>
    <k n="LearnMoreOnLink" t="r"/>
    <k n="Máximo"/>
    <k n="Máximo en 52 semanas"/>
    <k n="Mínimo"/>
    <k n="Mínimo en 52 semanas"/>
    <k n="Moneda" t="s"/>
    <k n="Nombre" t="s"/>
    <k n="Nombre oficial" t="s"/>
    <k n="Precio"/>
    <k n="Sector" t="s"/>
    <k n="Sede central" t="s"/>
    <k n="Símbolo bursátil" t="s"/>
    <k n="Tipo de instrumento" t="s"/>
    <k n="UniqueName" t="s"/>
    <k n="Volumen"/>
    <k n="Volumen promedio"/>
  </s>
  <s t="_linkedentitycore">
    <k n="%EntityCulture" t="s"/>
    <k n="%EntityId" t="s"/>
    <k n="%EntityServiceId"/>
    <k n="%IsRefreshable" t="b"/>
    <k n="%ProviderInfo" t="s"/>
    <k n="_CanonicalPropertyNames" t="spb"/>
    <k n="_Display" t="spb"/>
    <k n="_DisplayString" t="s"/>
    <k n="_Flags" t="spb"/>
    <k n="_Format" t="spb"/>
    <k n="_Icon" t="s"/>
    <k n="_SubLabel" t="spb"/>
    <k n="Abreviatura de intercambio" t="s"/>
    <k n="Acciones en circulación"/>
    <k n="Año de constitución"/>
    <k n="Apertura"/>
    <k n="Beta"/>
    <k n="Cambio"/>
    <k n="Cambio (%)"/>
    <k n="Capitalización de mercado"/>
    <k n="Cierre anterior"/>
    <k n="Descripción" t="s"/>
    <k n="ExchangeID" t="s"/>
    <k n="Hora de la última operación"/>
    <k n="Intercambio" t="s"/>
    <k n="LearnMoreOnLink" t="r"/>
    <k n="Máximo"/>
    <k n="Máximo en 52 semanas"/>
    <k n="Mínimo"/>
    <k n="Mínimo en 52 semanas"/>
    <k n="Moneda" t="s"/>
    <k n="Nombre" t="s"/>
    <k n="Nombre oficial" t="s"/>
    <k n="P/I"/>
    <k n="Precio"/>
    <k n="Sector" t="s"/>
    <k n="Sede central" t="s"/>
    <k n="Símbolo bursátil" t="s"/>
    <k n="Tipo de instrumento" t="s"/>
    <k n="UniqueName" t="s"/>
    <k n="Volumen"/>
    <k n="Volumen promedio"/>
  </s>
  <s t="_linkedentitycore">
    <k n="%EntityCulture" t="s"/>
    <k n="%EntityId" t="s"/>
    <k n="%EntityServiceId"/>
    <k n="%IsRefreshable" t="b"/>
    <k n="%ProviderInfo" t="s"/>
    <k n="_CanonicalPropertyNames" t="spb"/>
    <k n="_Display" t="spb"/>
    <k n="_DisplayString" t="s"/>
    <k n="_Flags" t="spb"/>
    <k n="_Format" t="spb"/>
    <k n="_Icon" t="s"/>
    <k n="_SubLabel" t="spb"/>
    <k n="Abreviatura de intercambio" t="s"/>
    <k n="Acciones en circulación"/>
    <k n="Año de constitución"/>
    <k n="Apertura"/>
    <k n="Beta"/>
    <k n="Cambio"/>
    <k n="Cambio % (horario ampliado)"/>
    <k n="Cambio (%)"/>
    <k n="Cambio (horario ampliado)"/>
    <k n="Capitalización de mercado"/>
    <k n="Cierre anterior"/>
    <k n="Descripción" t="s"/>
    <k n="Empleados"/>
    <k n="ExchangeID" t="s"/>
    <k n="Hora de la última operación"/>
    <k n="Intercambio" t="s"/>
    <k n="LearnMoreOnLink" t="r"/>
    <k n="Máximo"/>
    <k n="Máximo en 52 semanas"/>
    <k n="Mínimo"/>
    <k n="Mínimo en 52 semanas"/>
    <k n="Moneda" t="s"/>
    <k n="Nombre" t="s"/>
    <k n="Nombre oficial" t="s"/>
    <k n="Precio"/>
    <k n="Precio (horario ampliado)"/>
    <k n="Sector" t="s"/>
    <k n="Sede central" t="s"/>
    <k n="Símbolo bursátil" t="s"/>
    <k n="Tipo de instrumento" t="s"/>
    <k n="UniqueName" t="s"/>
    <k n="Volumen"/>
    <k n="Volumen promedio"/>
  </s>
  <s t="_linkedentitycore">
    <k n="%EntityCulture" t="s"/>
    <k n="%EntityId" t="s"/>
    <k n="%EntityServiceId"/>
    <k n="%IsRefreshable" t="b"/>
    <k n="%OutdatedReason" t="i"/>
    <k n="%ProviderInfo" t="s"/>
    <k n="_CanonicalPropertyNames" t="spb"/>
    <k n="_Display" t="spb"/>
    <k n="_DisplayString" t="s"/>
    <k n="_Flags" t="spb"/>
    <k n="_Format" t="spb"/>
    <k n="_Icon" t="s"/>
    <k n="_SubLabel" t="spb"/>
    <k n="Apertura"/>
    <k n="Cambio"/>
    <k n="Cambio (%)"/>
    <k n="Cierre anterior"/>
    <k n="De la moneda" t="s"/>
    <k n="Hora de la última operación"/>
    <k n="Máximo"/>
    <k n="Máximo en 52 semanas"/>
    <k n="Mínimo"/>
    <k n="Mínimo en 52 semanas"/>
    <k n="Moneda" t="s"/>
    <k n="Nombre" t="s"/>
    <k n="Precio"/>
    <k n="Símbolo bursátil" t="s"/>
    <k n="Tipo de instrumento" t="s"/>
    <k n="UniqueName" t="s"/>
  </s>
  <s t="_linkedentitycore">
    <k n="%EntityCulture" t="s"/>
    <k n="%EntityId" t="s"/>
    <k n="%EntityServiceId"/>
    <k n="%IsRefreshable" t="b"/>
    <k n="%OutdatedReason" t="i"/>
    <k n="%ProviderInfo" t="s"/>
    <k n="_Display" t="spb"/>
    <k n="_DisplayString" t="s"/>
    <k n="_Flags" t="spb"/>
    <k n="_Format" t="spb"/>
    <k n="_Icon" t="s"/>
    <k n="_SubLabel" t="spb"/>
    <k n="52 week high"/>
    <k n="52 week low"/>
    <k n="Change"/>
    <k n="Change (%)"/>
    <k n="Currency" t="s"/>
    <k n="From currency" t="s"/>
    <k n="Instrument type" t="s"/>
    <k n="Last trade time"/>
    <k n="Name" t="s"/>
    <k n="Previous close"/>
    <k n="Price"/>
    <k n="Ticker symbol" t="s"/>
    <k n="UniqueName" t="s"/>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Price (Extended hours)"/>
    <k n="Shares outstanding"/>
    <k n="Ticker symbol" t="s"/>
    <k n="UniqueName" t="s"/>
    <k n="Volume"/>
    <k n="Volume average"/>
    <k n="Year incorporated"/>
  </s>
  <s t="_linkedentitycore">
    <k n="%EntityCulture" t="s"/>
    <k n="%EntityId" t="s"/>
    <k n="%EntityServiceId"/>
    <k n="%IsRefreshable" t="b"/>
    <k n="%OutdatedReason" t="i"/>
    <k n="%ProviderInfo" t="s"/>
    <k n="_CanonicalPropertyNames" t="spb"/>
    <k n="_Display" t="spb"/>
    <k n="_DisplayString" t="s"/>
    <k n="_Flags" t="spb"/>
    <k n="_Format" t="spb"/>
    <k n="_Icon" t="s"/>
    <k n="_SubLabel" t="spb"/>
    <k n="Abreviatura de intercambio" t="s"/>
    <k n="Acciones en circulación"/>
    <k n="Año de constitución"/>
    <k n="Apertura"/>
    <k n="Beta"/>
    <k n="Cambio"/>
    <k n="Cambio (%)"/>
    <k n="Capitalización de mercado"/>
    <k n="Cierre anterior"/>
    <k n="Descripción" t="s"/>
    <k n="ExchangeID" t="s"/>
    <k n="Hora de la última operación"/>
    <k n="Intercambio" t="s"/>
    <k n="LearnMoreOnLink" t="r"/>
    <k n="Máximo"/>
    <k n="Máximo en 52 semanas"/>
    <k n="Mínimo"/>
    <k n="Mínimo en 52 semanas"/>
    <k n="Moneda" t="s"/>
    <k n="Nombre" t="s"/>
    <k n="Nombre oficial" t="s"/>
    <k n="P/I"/>
    <k n="Precio"/>
    <k n="Sector" t="s"/>
    <k n="Sede central" t="s"/>
    <k n="Símbolo bursátil" t="s"/>
    <k n="Tipo de instrumento" t="s"/>
    <k n="UniqueName" t="s"/>
    <k n="Volumen"/>
    <k n="Volumen promedio"/>
  </s>
</rvStructures>
</file>

<file path=xl/richData/rdsupportingpropertybag.xml><?xml version="1.0" encoding="utf-8"?>
<supportingPropertyBags xmlns="http://schemas.microsoft.com/office/spreadsheetml/2017/richdata2">
  <spbArrays count="10">
    <a count="43">
      <v t="s">%EntityServiceId</v>
      <v t="s">_Format</v>
      <v t="s">%IsRefreshable</v>
      <v t="s">_CanonicalPropertyNames</v>
      <v t="s">%EntityCulture</v>
      <v t="s">%EntityId</v>
      <v t="s">_Icon</v>
      <v t="s">_Display</v>
      <v t="s">Nombre</v>
      <v t="s">_SubLabel</v>
      <v t="s">Precio</v>
      <v t="s">Intercambio</v>
      <v t="s">Nombre oficial</v>
      <v t="s">Hora de la última operación</v>
      <v t="s">Símbolo bursátil</v>
      <v t="s">Abreviatura de intercambio</v>
      <v t="s">Cambio</v>
      <v t="s">Cambio (%)</v>
      <v t="s">Moneda</v>
      <v t="s">Cierre anterior</v>
      <v t="s">Apertura</v>
      <v t="s">Máximo</v>
      <v t="s">Mínimo</v>
      <v t="s">Máximo en 52 semanas</v>
      <v t="s">Mínimo en 52 semanas</v>
      <v t="s">Volumen</v>
      <v t="s">Volumen promedio</v>
      <v t="s">Capitalización de mercado</v>
      <v t="s">Beta</v>
      <v t="s">P/I</v>
      <v t="s">Acciones en circulación</v>
      <v t="s">Descripción</v>
      <v t="s">Empleados</v>
      <v t="s">Sede central</v>
      <v t="s">Sector</v>
      <v t="s">Tipo de instrumento</v>
      <v t="s">Año de constitución</v>
      <v t="s">_Flags</v>
      <v t="s">UniqueName</v>
      <v t="s">_DisplayString</v>
      <v t="s">LearnMoreOnLink</v>
      <v t="s">ExchangeID</v>
      <v t="s">%ProviderInfo</v>
    </a>
    <a count="46">
      <v t="s">%EntityServiceId</v>
      <v t="s">_Format</v>
      <v t="s">%IsRefreshable</v>
      <v t="s">_CanonicalPropertyNames</v>
      <v t="s">%EntityCulture</v>
      <v t="s">%EntityId</v>
      <v t="s">_Icon</v>
      <v t="s">_Display</v>
      <v t="s">Nombre</v>
      <v t="s">_SubLabel</v>
      <v t="s">Precio</v>
      <v t="s">Precio (horario ampliado)</v>
      <v t="s">Intercambio</v>
      <v t="s">Nombre oficial</v>
      <v t="s">Hora de la última operación</v>
      <v t="s">Símbolo bursátil</v>
      <v t="s">Abreviatura de intercambio</v>
      <v t="s">Cambio</v>
      <v t="s">Cambio (horario ampliado)</v>
      <v t="s">Cambio (%)</v>
      <v t="s">Cambio % (horario ampliado)</v>
      <v t="s">Moneda</v>
      <v t="s">Cierre anterior</v>
      <v t="s">Apertura</v>
      <v t="s">Máximo</v>
      <v t="s">Mínimo</v>
      <v t="s">Máximo en 52 semanas</v>
      <v t="s">Mínimo en 52 semanas</v>
      <v t="s">Volumen</v>
      <v t="s">Volumen promedio</v>
      <v t="s">Capitalización de mercado</v>
      <v t="s">Beta</v>
      <v t="s">P/I</v>
      <v t="s">Acciones en circulación</v>
      <v t="s">Descripción</v>
      <v t="s">Empleados</v>
      <v t="s">Sede central</v>
      <v t="s">Sector</v>
      <v t="s">Tipo de instrumento</v>
      <v t="s">Año de constitución</v>
      <v t="s">_Flags</v>
      <v t="s">UniqueName</v>
      <v t="s">_DisplayString</v>
      <v t="s">LearnMoreOnLink</v>
      <v t="s">ExchangeID</v>
      <v t="s">%ProviderInfo</v>
    </a>
    <a count="44">
      <v t="s">%EntityServiceId</v>
      <v t="s">_Format</v>
      <v t="s">%IsRefreshable</v>
      <v t="s">_CanonicalPropertyNames</v>
      <v t="s">%EntityCulture</v>
      <v t="s">%EntityId</v>
      <v t="s">_Icon</v>
      <v t="s">_Display</v>
      <v t="s">Nombre</v>
      <v t="s">_SubLabel</v>
      <v t="s">Precio</v>
      <v t="s">Intercambio</v>
      <v t="s">Nombre oficial</v>
      <v t="s">Hora de la última operación</v>
      <v t="s">Símbolo bursátil</v>
      <v t="s">Abreviatura de intercambio</v>
      <v t="s">Cambio</v>
      <v t="s">Cambio (%)</v>
      <v t="s">Moneda</v>
      <v t="s">Cierre anterior</v>
      <v t="s">Apertura</v>
      <v t="s">Máximo</v>
      <v t="s">Mínimo</v>
      <v t="s">Máximo en 52 semanas</v>
      <v t="s">Mínimo en 52 semanas</v>
      <v t="s">Volumen</v>
      <v t="s">Volumen promedio</v>
      <v t="s">Capitalización de mercado</v>
      <v t="s">Beta</v>
      <v t="s">P/I</v>
      <v t="s">Acciones en circulación</v>
      <v t="s">Descripción</v>
      <v t="s">Empleados</v>
      <v t="s">Sede central</v>
      <v t="s">Sector</v>
      <v t="s">Tipo de instrumento</v>
      <v t="s">Año de constitución</v>
      <v t="s">_Flags</v>
      <v t="s">UniqueName</v>
      <v t="s">_DisplayString</v>
      <v t="s">LearnMoreOnLink</v>
      <v t="s">ExchangeID</v>
      <v t="s">%ProviderInfo</v>
      <v t="s">%OutdatedReason</v>
    </a>
    <a count="43">
      <v t="s">%EntityServiceId</v>
      <v t="s">_Format</v>
      <v t="s">%IsRefreshable</v>
      <v t="s">_CanonicalPropertyNames</v>
      <v t="s">%EntityCulture</v>
      <v t="s">%EntityId</v>
      <v t="s">_Icon</v>
      <v t="s">_Display</v>
      <v t="s">Nombre</v>
      <v t="s">_SubLabel</v>
      <v t="s">Precio</v>
      <v t="s">Intercambio</v>
      <v t="s">Nombre oficial</v>
      <v t="s">Hora de la última operación</v>
      <v t="s">Símbolo bursátil</v>
      <v t="s">Abreviatura de intercambio</v>
      <v t="s">Cambio</v>
      <v t="s">Cambio (%)</v>
      <v t="s">Moneda</v>
      <v t="s">Cierre anterior</v>
      <v t="s">Apertura</v>
      <v t="s">Máximo</v>
      <v t="s">Mínimo</v>
      <v t="s">Máximo en 52 semanas</v>
      <v t="s">Mínimo en 52 semanas</v>
      <v t="s">Volumen</v>
      <v t="s">Volumen promedio</v>
      <v t="s">Capitalización de mercado</v>
      <v t="s">Beta</v>
      <v t="s">Acciones en circulación</v>
      <v t="s">Descripción</v>
      <v t="s">Empleados</v>
      <v t="s">Sede central</v>
      <v t="s">Sector</v>
      <v t="s">Tipo de instrumento</v>
      <v t="s">Año de constitución</v>
      <v t="s">_Flags</v>
      <v t="s">UniqueName</v>
      <v t="s">_DisplayString</v>
      <v t="s">LearnMoreOnLink</v>
      <v t="s">ExchangeID</v>
      <v t="s">%ProviderInfo</v>
      <v t="s">%OutdatedReason</v>
    </a>
    <a count="42">
      <v t="s">%EntityServiceId</v>
      <v t="s">_Format</v>
      <v t="s">%IsRefreshable</v>
      <v t="s">_CanonicalPropertyNames</v>
      <v t="s">%EntityCulture</v>
      <v t="s">%EntityId</v>
      <v t="s">_Icon</v>
      <v t="s">_Display</v>
      <v t="s">Nombre</v>
      <v t="s">_SubLabel</v>
      <v t="s">Precio</v>
      <v t="s">Intercambio</v>
      <v t="s">Nombre oficial</v>
      <v t="s">Hora de la última operación</v>
      <v t="s">Símbolo bursátil</v>
      <v t="s">Abreviatura de intercambio</v>
      <v t="s">Cambio</v>
      <v t="s">Cambio (%)</v>
      <v t="s">Moneda</v>
      <v t="s">Cierre anterior</v>
      <v t="s">Apertura</v>
      <v t="s">Máximo</v>
      <v t="s">Mínimo</v>
      <v t="s">Máximo en 52 semanas</v>
      <v t="s">Mínimo en 52 semanas</v>
      <v t="s">Volumen</v>
      <v t="s">Volumen promedio</v>
      <v t="s">Capitalización de mercado</v>
      <v t="s">Beta</v>
      <v t="s">P/I</v>
      <v t="s">Acciones en circulación</v>
      <v t="s">Descripción</v>
      <v t="s">Sede central</v>
      <v t="s">Sector</v>
      <v t="s">Tipo de instrumento</v>
      <v t="s">Año de constitución</v>
      <v t="s">_Flags</v>
      <v t="s">UniqueName</v>
      <v t="s">_DisplayString</v>
      <v t="s">LearnMoreOnLink</v>
      <v t="s">ExchangeID</v>
      <v t="s">%ProviderInfo</v>
    </a>
    <a count="45">
      <v t="s">%EntityServiceId</v>
      <v t="s">_Format</v>
      <v t="s">%IsRefreshable</v>
      <v t="s">_CanonicalPropertyNames</v>
      <v t="s">%EntityCulture</v>
      <v t="s">%EntityId</v>
      <v t="s">_Icon</v>
      <v t="s">_Display</v>
      <v t="s">Nombre</v>
      <v t="s">_SubLabel</v>
      <v t="s">Precio</v>
      <v t="s">Precio (horario ampliado)</v>
      <v t="s">Intercambio</v>
      <v t="s">Nombre oficial</v>
      <v t="s">Hora de la última operación</v>
      <v t="s">Símbolo bursátil</v>
      <v t="s">Abreviatura de intercambio</v>
      <v t="s">Cambio</v>
      <v t="s">Cambio (horario ampliado)</v>
      <v t="s">Cambio (%)</v>
      <v t="s">Cambio % (horario ampliado)</v>
      <v t="s">Moneda</v>
      <v t="s">Cierre anterior</v>
      <v t="s">Apertura</v>
      <v t="s">Máximo</v>
      <v t="s">Mínimo</v>
      <v t="s">Máximo en 52 semanas</v>
      <v t="s">Mínimo en 52 semanas</v>
      <v t="s">Volumen</v>
      <v t="s">Volumen promedio</v>
      <v t="s">Capitalización de mercado</v>
      <v t="s">Beta</v>
      <v t="s">Acciones en circulación</v>
      <v t="s">Descripción</v>
      <v t="s">Empleados</v>
      <v t="s">Sede central</v>
      <v t="s">Sector</v>
      <v t="s">Tipo de instrumento</v>
      <v t="s">Año de constitución</v>
      <v t="s">_Flags</v>
      <v t="s">UniqueName</v>
      <v t="s">_DisplayString</v>
      <v t="s">LearnMoreOnLink</v>
      <v t="s">ExchangeID</v>
      <v t="s">%ProviderInfo</v>
    </a>
    <a count="29">
      <v t="s">%EntityServiceId</v>
      <v t="s">_Format</v>
      <v t="s">%IsRefreshable</v>
      <v t="s">_CanonicalPropertyNames</v>
      <v t="s">%EntityCulture</v>
      <v t="s">%EntityId</v>
      <v t="s">_Icon</v>
      <v t="s">_Display</v>
      <v t="s">Nombre</v>
      <v t="s">Precio</v>
      <v t="s">_SubLabel</v>
      <v t="s">Hora de la última operación</v>
      <v t="s">Símbolo bursátil</v>
      <v t="s">Cambio</v>
      <v t="s">Cambio (%)</v>
      <v t="s">Moneda</v>
      <v t="s">De la moneda</v>
      <v t="s">Cierre anterior</v>
      <v t="s">Apertura</v>
      <v t="s">Máximo</v>
      <v t="s">Mínimo</v>
      <v t="s">Máximo en 52 semanas</v>
      <v t="s">Mínimo en 52 semanas</v>
      <v t="s">Tipo de instrumento</v>
      <v t="s">_Flags</v>
      <v t="s">UniqueName</v>
      <v t="s">_DisplayString</v>
      <v t="s">%ProviderInfo</v>
      <v t="s">%OutdatedReason</v>
    </a>
    <a count="25">
      <v t="s">%EntityServiceId</v>
      <v t="s">_Format</v>
      <v t="s">%IsRefreshable</v>
      <v t="s">%EntityCulture</v>
      <v t="s">%EntityId</v>
      <v t="s">_Icon</v>
      <v t="s">_Display</v>
      <v t="s">Name</v>
      <v t="s">Price</v>
      <v t="s">_SubLabel</v>
      <v t="s">Last trade time</v>
      <v t="s">Ticker symbol</v>
      <v t="s">Change</v>
      <v t="s">Change (%)</v>
      <v t="s">Currency</v>
      <v t="s">From currency</v>
      <v t="s">Previous close</v>
      <v t="s">52 week high</v>
      <v t="s">52 week low</v>
      <v t="s">Instrument type</v>
      <v t="s">_Flags</v>
      <v t="s">UniqueName</v>
      <v t="s">_DisplayString</v>
      <v t="s">%ProviderInfo</v>
      <v t="s">%OutdatedReason</v>
    </a>
    <a count="45">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ExchangeID</v>
      <v t="s">%ProviderInfo</v>
    </a>
    <a count="43">
      <v t="s">%EntityServiceId</v>
      <v t="s">_Format</v>
      <v t="s">%IsRefreshable</v>
      <v t="s">_CanonicalPropertyNames</v>
      <v t="s">%EntityCulture</v>
      <v t="s">%EntityId</v>
      <v t="s">_Icon</v>
      <v t="s">_Display</v>
      <v t="s">Nombre</v>
      <v t="s">_SubLabel</v>
      <v t="s">Precio</v>
      <v t="s">Intercambio</v>
      <v t="s">Nombre oficial</v>
      <v t="s">Hora de la última operación</v>
      <v t="s">Símbolo bursátil</v>
      <v t="s">Abreviatura de intercambio</v>
      <v t="s">Cambio</v>
      <v t="s">Cambio (%)</v>
      <v t="s">Moneda</v>
      <v t="s">Cierre anterior</v>
      <v t="s">Apertura</v>
      <v t="s">Máximo</v>
      <v t="s">Mínimo</v>
      <v t="s">Máximo en 52 semanas</v>
      <v t="s">Mínimo en 52 semanas</v>
      <v t="s">Volumen</v>
      <v t="s">Volumen promedio</v>
      <v t="s">Capitalización de mercado</v>
      <v t="s">Beta</v>
      <v t="s">P/I</v>
      <v t="s">Acciones en circulación</v>
      <v t="s">Descripción</v>
      <v t="s">Sede central</v>
      <v t="s">Sector</v>
      <v t="s">Tipo de instrumento</v>
      <v t="s">Año de constitución</v>
      <v t="s">_Flags</v>
      <v t="s">UniqueName</v>
      <v t="s">_DisplayString</v>
      <v t="s">LearnMoreOnLink</v>
      <v t="s">ExchangeID</v>
      <v t="s">%ProviderInfo</v>
      <v t="s">%OutdatedReason</v>
    </a>
  </spbArrays>
  <spbData count="40">
    <spb s="0">
      <v>P/E</v>
      <v>Beta</v>
      <v>Change</v>
      <v>Currency</v>
      <v>High</v>
      <v>Low</v>
      <v>Name</v>
      <v>Price</v>
      <v>Industry</v>
      <v>Volume</v>
      <v>Open</v>
      <v>Employees</v>
      <v>Change (%)</v>
      <v>ExchangeID</v>
      <v>UniqueName</v>
      <v>Description</v>
      <v>Exchange</v>
      <v>Headquarters</v>
      <v>%ProviderInfo</v>
      <v>Official name</v>
      <v>Previous close</v>
      <v>LearnMoreOnLink</v>
      <v>Ticker symbol</v>
      <v>Volume average</v>
      <v>Year incorporated</v>
      <v>Instrument type</v>
      <v>52 week high</v>
      <v>52 week low</v>
      <v>Shares outstanding</v>
      <v>Market cap</v>
      <v>Exchange abbreviation</v>
      <v>Last trade time</v>
    </spb>
    <spb s="1">
      <v>0</v>
      <v>Name</v>
      <v>LearnMoreOnLink</v>
    </spb>
    <spb s="2">
      <v>0</v>
      <v>0</v>
      <v>0</v>
    </spb>
    <spb s="3">
      <v>2</v>
      <v>2</v>
      <v>2</v>
      <v>2</v>
    </spb>
    <spb s="4">
      <v>1</v>
      <v>1</v>
      <v>2</v>
      <v>2</v>
      <v>2</v>
      <v>3</v>
      <v>2</v>
      <v>4</v>
      <v>2</v>
      <v>4</v>
      <v>5</v>
      <v>2</v>
      <v>4</v>
      <v>6</v>
      <v>7</v>
      <v>2</v>
      <v>2</v>
      <v>4</v>
      <v>8</v>
      <v>9</v>
    </spb>
    <spb s="5">
      <v xml:space="preserve">desde el cierre anterior </v>
      <v>Retrasado 15 minutos</v>
      <v xml:space="preserve">desde el cierre anterior </v>
      <v>GMT</v>
    </spb>
    <spb s="6">
      <v>P/E</v>
      <v>Beta</v>
      <v>Change</v>
      <v>Currency</v>
      <v>High</v>
      <v>Low</v>
      <v>Name</v>
      <v>Price</v>
      <v>Industry</v>
      <v>Volume</v>
      <v>Open</v>
      <v>Employees</v>
      <v>Change (%)</v>
      <v>ExchangeID</v>
      <v>UniqueName</v>
      <v>Description</v>
      <v>Exchange</v>
      <v>Headquarters</v>
      <v>%ProviderInfo</v>
      <v>Official name</v>
      <v>Previous close</v>
      <v>LearnMoreOnLink</v>
      <v>Ticker symbol</v>
      <v>Volume average</v>
      <v>Year incorporated</v>
      <v>Instrument type</v>
      <v>52 week high</v>
      <v>52 week low</v>
      <v>Shares outstanding</v>
      <v>Change (Extended hours)</v>
      <v>Market cap</v>
      <v>Price (Extended hours)</v>
      <v>Exchange abbreviation</v>
      <v>Change % (Extended hours)</v>
      <v>Last trade time</v>
    </spb>
    <spb s="1">
      <v>1</v>
      <v>Name</v>
      <v>LearnMoreOnLink</v>
    </spb>
    <spb s="7">
      <v>1</v>
      <v>1</v>
      <v>10</v>
      <v>10</v>
      <v>10</v>
      <v>3</v>
      <v>10</v>
      <v>4</v>
      <v>10</v>
      <v>4</v>
      <v>5</v>
      <v>10</v>
      <v>4</v>
      <v>6</v>
      <v>7</v>
      <v>10</v>
      <v>10</v>
      <v>4</v>
      <v>10</v>
      <v>11</v>
      <v>10</v>
      <v>5</v>
      <v>9</v>
    </spb>
    <spb s="8">
      <v xml:space="preserve">desde el cierre anterior </v>
      <v xml:space="preserve">al cierre </v>
      <v xml:space="preserve">desde el cierre anterior </v>
      <v>Origen: Nasdaq</v>
      <v xml:space="preserve">desde el cierre </v>
      <v>Retrasado 15 minutos</v>
      <v xml:space="preserve">desde el cierre </v>
      <v>GMT</v>
    </spb>
    <spb s="8">
      <v xml:space="preserve">desde el cierre anterior </v>
      <v xml:space="preserve">al cierre </v>
      <v xml:space="preserve">desde el cierre anterior </v>
      <v>Origen: Nasdaq Última venta</v>
      <v xml:space="preserve">desde el cierre </v>
      <v>Tiempo real Nasdaq Última venta</v>
      <v xml:space="preserve">desde el cierre </v>
      <v>GMT</v>
    </spb>
    <spb s="1">
      <v>2</v>
      <v>Name</v>
      <v>LearnMoreOnLink</v>
    </spb>
    <spb s="4">
      <v>1</v>
      <v>1</v>
      <v>10</v>
      <v>10</v>
      <v>10</v>
      <v>3</v>
      <v>10</v>
      <v>4</v>
      <v>10</v>
      <v>4</v>
      <v>5</v>
      <v>10</v>
      <v>4</v>
      <v>6</v>
      <v>7</v>
      <v>10</v>
      <v>10</v>
      <v>4</v>
      <v>11</v>
      <v>9</v>
    </spb>
    <spb s="9">
      <v xml:space="preserve">desde el cierre anterior </v>
      <v>Tiempo real Nasdaq Última venta</v>
      <v xml:space="preserve">desde el cierre anterior </v>
      <v>Origen: Nasdaq Última venta</v>
      <v>GMT</v>
    </spb>
    <spb s="10">
      <v>Beta</v>
      <v>Change</v>
      <v>Currency</v>
      <v>High</v>
      <v>Low</v>
      <v>Name</v>
      <v>Price</v>
      <v>Industry</v>
      <v>Volume</v>
      <v>Open</v>
      <v>Employees</v>
      <v>Change (%)</v>
      <v>ExchangeID</v>
      <v>UniqueName</v>
      <v>Description</v>
      <v>Exchange</v>
      <v>Headquarters</v>
      <v>%ProviderInfo</v>
      <v>Official name</v>
      <v>Previous close</v>
      <v>LearnMoreOnLink</v>
      <v>Ticker symbol</v>
      <v>Volume average</v>
      <v>Year incorporated</v>
      <v>Instrument type</v>
      <v>52 week high</v>
      <v>52 week low</v>
      <v>Shares outstanding</v>
      <v>Market cap</v>
      <v>Exchange abbreviation</v>
      <v>Last trade time</v>
    </spb>
    <spb s="1">
      <v>3</v>
      <v>Name</v>
      <v>LearnMoreOnLink</v>
    </spb>
    <spb s="11">
      <v>1</v>
      <v>10</v>
      <v>10</v>
      <v>10</v>
      <v>3</v>
      <v>10</v>
      <v>4</v>
      <v>10</v>
      <v>4</v>
      <v>5</v>
      <v>10</v>
      <v>4</v>
      <v>6</v>
      <v>7</v>
      <v>10</v>
      <v>10</v>
      <v>4</v>
      <v>11</v>
      <v>9</v>
    </spb>
    <spb s="12">
      <v>P/E</v>
      <v>Beta</v>
      <v>Change</v>
      <v>Currency</v>
      <v>High</v>
      <v>Low</v>
      <v>Name</v>
      <v>Price</v>
      <v>Industry</v>
      <v>Volume</v>
      <v>Open</v>
      <v>Change (%)</v>
      <v>ExchangeID</v>
      <v>UniqueName</v>
      <v>Description</v>
      <v>Exchange</v>
      <v>Headquarters</v>
      <v>%ProviderInfo</v>
      <v>Official name</v>
      <v>Previous close</v>
      <v>LearnMoreOnLink</v>
      <v>Ticker symbol</v>
      <v>Volume average</v>
      <v>Year incorporated</v>
      <v>Instrument type</v>
      <v>52 week high</v>
      <v>52 week low</v>
      <v>Shares outstanding</v>
      <v>Market cap</v>
      <v>Exchange abbreviation</v>
      <v>Last trade time</v>
    </spb>
    <spb s="1">
      <v>4</v>
      <v>Name</v>
      <v>LearnMoreOnLink</v>
    </spb>
    <spb s="13">
      <v>1</v>
      <v>1</v>
      <v>2</v>
      <v>2</v>
      <v>2</v>
      <v>3</v>
      <v>2</v>
      <v>4</v>
      <v>2</v>
      <v>5</v>
      <v>2</v>
      <v>4</v>
      <v>6</v>
      <v>7</v>
      <v>2</v>
      <v>2</v>
      <v>4</v>
      <v>8</v>
      <v>9</v>
    </spb>
    <spb s="4">
      <v>1</v>
      <v>1</v>
      <v>12</v>
      <v>12</v>
      <v>12</v>
      <v>3</v>
      <v>12</v>
      <v>4</v>
      <v>12</v>
      <v>4</v>
      <v>5</v>
      <v>12</v>
      <v>4</v>
      <v>6</v>
      <v>7</v>
      <v>12</v>
      <v>12</v>
      <v>4</v>
      <v>13</v>
      <v>9</v>
    </spb>
    <spb s="9">
      <v xml:space="preserve">desde el cierre anterior </v>
      <v>Retrasado 15 minutos</v>
      <v xml:space="preserve">desde el cierre anterior </v>
      <v>Borsa Italia</v>
      <v>GMT</v>
    </spb>
    <spb s="4">
      <v>1</v>
      <v>1</v>
      <v>10</v>
      <v>10</v>
      <v>10</v>
      <v>3</v>
      <v>10</v>
      <v>4</v>
      <v>10</v>
      <v>4</v>
      <v>5</v>
      <v>10</v>
      <v>4</v>
      <v>6</v>
      <v>7</v>
      <v>10</v>
      <v>10</v>
      <v>4</v>
      <v>14</v>
      <v>9</v>
    </spb>
    <spb s="7">
      <v>1</v>
      <v>1</v>
      <v>10</v>
      <v>10</v>
      <v>10</v>
      <v>3</v>
      <v>10</v>
      <v>4</v>
      <v>10</v>
      <v>4</v>
      <v>5</v>
      <v>10</v>
      <v>4</v>
      <v>6</v>
      <v>7</v>
      <v>10</v>
      <v>10</v>
      <v>4</v>
      <v>10</v>
      <v>8</v>
      <v>10</v>
      <v>5</v>
      <v>9</v>
    </spb>
    <spb s="14">
      <v>Beta</v>
      <v>Change</v>
      <v>Currency</v>
      <v>High</v>
      <v>Low</v>
      <v>Name</v>
      <v>Price</v>
      <v>Industry</v>
      <v>Volume</v>
      <v>Open</v>
      <v>Employees</v>
      <v>Change (%)</v>
      <v>ExchangeID</v>
      <v>UniqueName</v>
      <v>Description</v>
      <v>Exchange</v>
      <v>Headquarters</v>
      <v>%ProviderInfo</v>
      <v>Official name</v>
      <v>Previous close</v>
      <v>LearnMoreOnLink</v>
      <v>Ticker symbol</v>
      <v>Volume average</v>
      <v>Year incorporated</v>
      <v>Instrument type</v>
      <v>52 week high</v>
      <v>52 week low</v>
      <v>Shares outstanding</v>
      <v>Change (Extended hours)</v>
      <v>Market cap</v>
      <v>Price (Extended hours)</v>
      <v>Exchange abbreviation</v>
      <v>Change % (Extended hours)</v>
      <v>Last trade time</v>
    </spb>
    <spb s="1">
      <v>5</v>
      <v>Name</v>
      <v>LearnMoreOnLink</v>
    </spb>
    <spb s="15">
      <v>1</v>
      <v>10</v>
      <v>10</v>
      <v>10</v>
      <v>3</v>
      <v>10</v>
      <v>4</v>
      <v>10</v>
      <v>4</v>
      <v>5</v>
      <v>10</v>
      <v>4</v>
      <v>6</v>
      <v>7</v>
      <v>10</v>
      <v>10</v>
      <v>4</v>
      <v>10</v>
      <v>11</v>
      <v>10</v>
      <v>5</v>
      <v>9</v>
    </spb>
    <spb s="16">
      <v>Change</v>
      <v>Currency</v>
      <v>High</v>
      <v>Low</v>
      <v>Name</v>
      <v>Price</v>
      <v>Open</v>
      <v>Change (%)</v>
      <v>UniqueName</v>
      <v>From currency</v>
      <v>%ProviderInfo</v>
      <v>Previous close</v>
      <v>Ticker symbol</v>
      <v>Instrument type</v>
      <v>52 week high</v>
      <v>52 week low</v>
      <v>Last trade time</v>
    </spb>
    <spb s="17">
      <v>6</v>
      <v>Name</v>
    </spb>
    <spb s="18">
      <v>2</v>
      <v>2</v>
    </spb>
    <spb s="19">
      <v>10</v>
      <v>10</v>
      <v>10</v>
      <v>3</v>
      <v>10</v>
      <v>10</v>
      <v>5</v>
      <v>10</v>
      <v>6</v>
      <v>10</v>
      <v>10</v>
      <v>9</v>
    </spb>
    <spb s="20">
      <v>GMT</v>
    </spb>
    <spb s="17">
      <v>7</v>
      <v>Name</v>
    </spb>
    <spb s="21">
      <v>3</v>
      <v>10</v>
      <v>10</v>
      <v>5</v>
      <v>10</v>
      <v>10</v>
      <v>10</v>
      <v>9</v>
      <v>6</v>
    </spb>
    <spb s="22">
      <v>GMT</v>
    </spb>
    <spb s="1">
      <v>8</v>
      <v>Name</v>
      <v>LearnMoreOnLink</v>
    </spb>
    <spb s="23">
      <v>10</v>
      <v>1</v>
      <v>1</v>
      <v>10</v>
      <v>3</v>
      <v>10</v>
      <v>10</v>
      <v>10</v>
      <v>4</v>
      <v>4</v>
      <v>5</v>
      <v>8</v>
      <v>10</v>
      <v>10</v>
      <v>10</v>
      <v>4</v>
      <v>9</v>
      <v>7</v>
      <v>6</v>
      <v>4</v>
      <v>10</v>
      <v>10</v>
      <v>5</v>
    </spb>
    <spb s="24">
      <v>at close</v>
      <v>from previous close</v>
      <v>from previous close</v>
      <v>Source: Nasdaq</v>
      <v>GMT</v>
      <v>Delayed 15 minutes</v>
      <v>from close</v>
      <v>from close</v>
    </spb>
    <spb s="1">
      <v>9</v>
      <v>Name</v>
      <v>LearnMoreOnLink</v>
    </spb>
    <spb s="13">
      <v>1</v>
      <v>1</v>
      <v>10</v>
      <v>10</v>
      <v>10</v>
      <v>3</v>
      <v>10</v>
      <v>4</v>
      <v>10</v>
      <v>5</v>
      <v>10</v>
      <v>4</v>
      <v>6</v>
      <v>7</v>
      <v>10</v>
      <v>10</v>
      <v>4</v>
      <v>8</v>
      <v>9</v>
    </spb>
  </spbData>
</supportingPropertyBags>
</file>

<file path=xl/richData/rdsupportingpropertybagstructure.xml><?xml version="1.0" encoding="utf-8"?>
<spbStructures xmlns="http://schemas.microsoft.com/office/spreadsheetml/2017/richdata2" count="25">
  <s>
    <k n="P/I" t="s"/>
    <k n="Beta" t="s"/>
    <k n="Cambio" t="s"/>
    <k n="Moneda" t="s"/>
    <k n="Máximo" t="s"/>
    <k n="Mínimo" t="s"/>
    <k n="Nombre" t="s"/>
    <k n="Precio" t="s"/>
    <k n="Sector" t="s"/>
    <k n="Volumen" t="s"/>
    <k n="Apertura" t="s"/>
    <k n="Empleados" t="s"/>
    <k n="Cambio (%)" t="s"/>
    <k n="ExchangeID" t="s"/>
    <k n="UniqueName" t="s"/>
    <k n="Descripción" t="s"/>
    <k n="Intercambio" t="s"/>
    <k n="Sede central" t="s"/>
    <k n="%ProviderInfo" t="s"/>
    <k n="Nombre oficial" t="s"/>
    <k n="Cierre anterior" t="s"/>
    <k n="LearnMoreOnLink" t="s"/>
    <k n="Símbolo bursátil" t="s"/>
    <k n="Volumen promedio" t="s"/>
    <k n="Año de constitución" t="s"/>
    <k n="Tipo de instrumento" t="s"/>
    <k n="Máximo en 52 semanas" t="s"/>
    <k n="Mínimo en 52 semanas" t="s"/>
    <k n="Acciones en circulación" t="s"/>
    <k n="Capitalización de mercado" t="s"/>
    <k n="Abreviatura de intercambio" t="s"/>
    <k n="Hora de la última operación" t="s"/>
  </s>
  <s>
    <k n="^Order" t="spba"/>
    <k n="TitleProperty" t="s"/>
    <k n="SubTitleProperty" t="s"/>
  </s>
  <s>
    <k n="ShowInCardView" t="b"/>
    <k n="ShowInDotNotation" t="b"/>
    <k n="ShowInAutoComplete" t="b"/>
  </s>
  <s>
    <k n="ExchangeID" t="spb"/>
    <k n="UniqueName" t="spb"/>
    <k n="`%ProviderInfo" t="spb"/>
    <k n="LearnMoreOnLink" t="spb"/>
  </s>
  <s>
    <k n="P/I" t="i"/>
    <k n="Beta" t="i"/>
    <k n="Cambio" t="i"/>
    <k n="Máximo" t="i"/>
    <k n="Mínimo" t="i"/>
    <k n="Nombre" t="i"/>
    <k n="Precio" t="i"/>
    <k n="Volumen" t="i"/>
    <k n="Apertura" t="i"/>
    <k n="Empleados" t="i"/>
    <k n="Cambio (%)" t="i"/>
    <k n="Cierre anterior" t="i"/>
    <k n="Volumen promedio" t="i"/>
    <k n="`%EntityServiceId" t="i"/>
    <k n="Año de constitución" t="i"/>
    <k n="Máximo en 52 semanas" t="i"/>
    <k n="Mínimo en 52 semanas" t="i"/>
    <k n="Acciones en circulación" t="i"/>
    <k n="Capitalización de mercado" t="i"/>
    <k n="Hora de la última operación" t="i"/>
  </s>
  <s>
    <k n="Cambio" t="s"/>
    <k n="Precio" t="s"/>
    <k n="Cambio (%)" t="s"/>
    <k n="Hora de la última operación" t="s"/>
  </s>
  <s>
    <k n="P/I" t="s"/>
    <k n="Beta" t="s"/>
    <k n="Cambio" t="s"/>
    <k n="Moneda" t="s"/>
    <k n="Máximo" t="s"/>
    <k n="Mínimo" t="s"/>
    <k n="Nombre" t="s"/>
    <k n="Precio" t="s"/>
    <k n="Sector" t="s"/>
    <k n="Volumen" t="s"/>
    <k n="Apertura" t="s"/>
    <k n="Empleados" t="s"/>
    <k n="Cambio (%)" t="s"/>
    <k n="ExchangeID" t="s"/>
    <k n="UniqueName" t="s"/>
    <k n="Descripción" t="s"/>
    <k n="Intercambio" t="s"/>
    <k n="Sede central" t="s"/>
    <k n="%ProviderInfo" t="s"/>
    <k n="Nombre oficial" t="s"/>
    <k n="Cierre anterior" t="s"/>
    <k n="LearnMoreOnLink" t="s"/>
    <k n="Símbolo bursátil" t="s"/>
    <k n="Volumen promedio" t="s"/>
    <k n="Año de constitución" t="s"/>
    <k n="Tipo de instrumento" t="s"/>
    <k n="Máximo en 52 semanas" t="s"/>
    <k n="Mínimo en 52 semanas" t="s"/>
    <k n="Acciones en circulación" t="s"/>
    <k n="Cambio (horario ampliado)" t="s"/>
    <k n="Capitalización de mercado" t="s"/>
    <k n="Precio (horario ampliado)" t="s"/>
    <k n="Abreviatura de intercambio" t="s"/>
    <k n="Cambio % (horario ampliado)" t="s"/>
    <k n="Hora de la última operación" t="s"/>
  </s>
  <s>
    <k n="P/I" t="i"/>
    <k n="Beta" t="i"/>
    <k n="Cambio" t="i"/>
    <k n="Máximo" t="i"/>
    <k n="Mínimo" t="i"/>
    <k n="Nombre" t="i"/>
    <k n="Precio" t="i"/>
    <k n="Volumen" t="i"/>
    <k n="Apertura" t="i"/>
    <k n="Empleados" t="i"/>
    <k n="Cambio (%)" t="i"/>
    <k n="Cierre anterior" t="i"/>
    <k n="Volumen promedio" t="i"/>
    <k n="`%EntityServiceId" t="i"/>
    <k n="Año de constitución" t="i"/>
    <k n="Máximo en 52 semanas" t="i"/>
    <k n="Mínimo en 52 semanas" t="i"/>
    <k n="Acciones en circulación" t="i"/>
    <k n="Cambio (horario ampliado)" t="i"/>
    <k n="Capitalización de mercado" t="i"/>
    <k n="Precio (horario ampliado)" t="i"/>
    <k n="Cambio % (horario ampliado)" t="i"/>
    <k n="Hora de la última operación" t="i"/>
  </s>
  <s>
    <k n="Cambio" t="s"/>
    <k n="Precio" t="s"/>
    <k n="Cambio (%)" t="s"/>
    <k n="ExchangeID" t="s"/>
    <k n="Cambio (horario ampliado)" t="s"/>
    <k n="Precio (horario ampliado)" t="s"/>
    <k n="Cambio % (horario ampliado)" t="s"/>
    <k n="Hora de la última operación" t="s"/>
  </s>
  <s>
    <k n="Cambio" t="s"/>
    <k n="Precio" t="s"/>
    <k n="Cambio (%)" t="s"/>
    <k n="ExchangeID" t="s"/>
    <k n="Hora de la última operación" t="s"/>
  </s>
  <s>
    <k n="Beta" t="s"/>
    <k n="Cambio" t="s"/>
    <k n="Moneda" t="s"/>
    <k n="Máximo" t="s"/>
    <k n="Mínimo" t="s"/>
    <k n="Nombre" t="s"/>
    <k n="Precio" t="s"/>
    <k n="Sector" t="s"/>
    <k n="Volumen" t="s"/>
    <k n="Apertura" t="s"/>
    <k n="Empleados" t="s"/>
    <k n="Cambio (%)" t="s"/>
    <k n="ExchangeID" t="s"/>
    <k n="UniqueName" t="s"/>
    <k n="Descripción" t="s"/>
    <k n="Intercambio" t="s"/>
    <k n="Sede central" t="s"/>
    <k n="%ProviderInfo" t="s"/>
    <k n="Nombre oficial" t="s"/>
    <k n="Cierre anterior" t="s"/>
    <k n="LearnMoreOnLink" t="s"/>
    <k n="Símbolo bursátil" t="s"/>
    <k n="Volumen promedio" t="s"/>
    <k n="Año de constitución" t="s"/>
    <k n="Tipo de instrumento" t="s"/>
    <k n="Máximo en 52 semanas" t="s"/>
    <k n="Mínimo en 52 semanas" t="s"/>
    <k n="Acciones en circulación" t="s"/>
    <k n="Capitalización de mercado" t="s"/>
    <k n="Abreviatura de intercambio" t="s"/>
    <k n="Hora de la última operación" t="s"/>
  </s>
  <s>
    <k n="Beta" t="i"/>
    <k n="Cambio" t="i"/>
    <k n="Máximo" t="i"/>
    <k n="Mínimo" t="i"/>
    <k n="Nombre" t="i"/>
    <k n="Precio" t="i"/>
    <k n="Volumen" t="i"/>
    <k n="Apertura" t="i"/>
    <k n="Empleados" t="i"/>
    <k n="Cambio (%)" t="i"/>
    <k n="Cierre anterior" t="i"/>
    <k n="Volumen promedio" t="i"/>
    <k n="`%EntityServiceId" t="i"/>
    <k n="Año de constitución" t="i"/>
    <k n="Máximo en 52 semanas" t="i"/>
    <k n="Mínimo en 52 semanas" t="i"/>
    <k n="Acciones en circulación" t="i"/>
    <k n="Capitalización de mercado" t="i"/>
    <k n="Hora de la última operación" t="i"/>
  </s>
  <s>
    <k n="P/I" t="s"/>
    <k n="Beta" t="s"/>
    <k n="Cambio" t="s"/>
    <k n="Moneda" t="s"/>
    <k n="Máximo" t="s"/>
    <k n="Mínimo" t="s"/>
    <k n="Nombre" t="s"/>
    <k n="Precio" t="s"/>
    <k n="Sector" t="s"/>
    <k n="Volumen" t="s"/>
    <k n="Apertura" t="s"/>
    <k n="Cambio (%)" t="s"/>
    <k n="ExchangeID" t="s"/>
    <k n="UniqueName" t="s"/>
    <k n="Descripción" t="s"/>
    <k n="Intercambio" t="s"/>
    <k n="Sede central" t="s"/>
    <k n="%ProviderInfo" t="s"/>
    <k n="Nombre oficial" t="s"/>
    <k n="Cierre anterior" t="s"/>
    <k n="LearnMoreOnLink" t="s"/>
    <k n="Símbolo bursátil" t="s"/>
    <k n="Volumen promedio" t="s"/>
    <k n="Año de constitución" t="s"/>
    <k n="Tipo de instrumento" t="s"/>
    <k n="Máximo en 52 semanas" t="s"/>
    <k n="Mínimo en 52 semanas" t="s"/>
    <k n="Acciones en circulación" t="s"/>
    <k n="Capitalización de mercado" t="s"/>
    <k n="Abreviatura de intercambio" t="s"/>
    <k n="Hora de la última operación" t="s"/>
  </s>
  <s>
    <k n="P/I" t="i"/>
    <k n="Beta" t="i"/>
    <k n="Cambio" t="i"/>
    <k n="Máximo" t="i"/>
    <k n="Mínimo" t="i"/>
    <k n="Nombre" t="i"/>
    <k n="Precio" t="i"/>
    <k n="Volumen" t="i"/>
    <k n="Apertura" t="i"/>
    <k n="Cambio (%)" t="i"/>
    <k n="Cierre anterior" t="i"/>
    <k n="Volumen promedio" t="i"/>
    <k n="`%EntityServiceId" t="i"/>
    <k n="Año de constitución" t="i"/>
    <k n="Máximo en 52 semanas" t="i"/>
    <k n="Mínimo en 52 semanas" t="i"/>
    <k n="Acciones en circulación" t="i"/>
    <k n="Capitalización de mercado" t="i"/>
    <k n="Hora de la última operación" t="i"/>
  </s>
  <s>
    <k n="Beta" t="s"/>
    <k n="Cambio" t="s"/>
    <k n="Moneda" t="s"/>
    <k n="Máximo" t="s"/>
    <k n="Mínimo" t="s"/>
    <k n="Nombre" t="s"/>
    <k n="Precio" t="s"/>
    <k n="Sector" t="s"/>
    <k n="Volumen" t="s"/>
    <k n="Apertura" t="s"/>
    <k n="Empleados" t="s"/>
    <k n="Cambio (%)" t="s"/>
    <k n="ExchangeID" t="s"/>
    <k n="UniqueName" t="s"/>
    <k n="Descripción" t="s"/>
    <k n="Intercambio" t="s"/>
    <k n="Sede central" t="s"/>
    <k n="%ProviderInfo" t="s"/>
    <k n="Nombre oficial" t="s"/>
    <k n="Cierre anterior" t="s"/>
    <k n="LearnMoreOnLink" t="s"/>
    <k n="Símbolo bursátil" t="s"/>
    <k n="Volumen promedio" t="s"/>
    <k n="Año de constitución" t="s"/>
    <k n="Tipo de instrumento" t="s"/>
    <k n="Máximo en 52 semanas" t="s"/>
    <k n="Mínimo en 52 semanas" t="s"/>
    <k n="Acciones en circulación" t="s"/>
    <k n="Cambio (horario ampliado)" t="s"/>
    <k n="Capitalización de mercado" t="s"/>
    <k n="Precio (horario ampliado)" t="s"/>
    <k n="Abreviatura de intercambio" t="s"/>
    <k n="Cambio % (horario ampliado)" t="s"/>
    <k n="Hora de la última operación" t="s"/>
  </s>
  <s>
    <k n="Beta" t="i"/>
    <k n="Cambio" t="i"/>
    <k n="Máximo" t="i"/>
    <k n="Mínimo" t="i"/>
    <k n="Nombre" t="i"/>
    <k n="Precio" t="i"/>
    <k n="Volumen" t="i"/>
    <k n="Apertura" t="i"/>
    <k n="Empleados" t="i"/>
    <k n="Cambio (%)" t="i"/>
    <k n="Cierre anterior" t="i"/>
    <k n="Volumen promedio" t="i"/>
    <k n="`%EntityServiceId" t="i"/>
    <k n="Año de constitución" t="i"/>
    <k n="Máximo en 52 semanas" t="i"/>
    <k n="Mínimo en 52 semanas" t="i"/>
    <k n="Acciones en circulación" t="i"/>
    <k n="Cambio (horario ampliado)" t="i"/>
    <k n="Capitalización de mercado" t="i"/>
    <k n="Precio (horario ampliado)" t="i"/>
    <k n="Cambio % (horario ampliado)" t="i"/>
    <k n="Hora de la última operación" t="i"/>
  </s>
  <s>
    <k n="Cambio" t="s"/>
    <k n="Moneda" t="s"/>
    <k n="Máximo" t="s"/>
    <k n="Mínimo" t="s"/>
    <k n="Nombre" t="s"/>
    <k n="Precio" t="s"/>
    <k n="Apertura" t="s"/>
    <k n="Cambio (%)" t="s"/>
    <k n="UniqueName" t="s"/>
    <k n="De la moneda" t="s"/>
    <k n="%ProviderInfo" t="s"/>
    <k n="Cierre anterior" t="s"/>
    <k n="Símbolo bursátil" t="s"/>
    <k n="Tipo de instrumento" t="s"/>
    <k n="Máximo en 52 semanas" t="s"/>
    <k n="Mínimo en 52 semanas" t="s"/>
    <k n="Hora de la última operación" t="s"/>
  </s>
  <s>
    <k n="^Order" t="spba"/>
    <k n="TitleProperty" t="s"/>
  </s>
  <s>
    <k n="UniqueName" t="spb"/>
    <k n="`%ProviderInfo" t="spb"/>
  </s>
  <s>
    <k n="Cambio" t="i"/>
    <k n="Máximo" t="i"/>
    <k n="Mínimo" t="i"/>
    <k n="Nombre" t="i"/>
    <k n="Precio" t="i"/>
    <k n="Apertura" t="i"/>
    <k n="Cambio (%)" t="i"/>
    <k n="Cierre anterior" t="i"/>
    <k n="`%EntityServiceId" t="i"/>
    <k n="Máximo en 52 semanas" t="i"/>
    <k n="Mínimo en 52 semanas" t="i"/>
    <k n="Hora de la última operación" t="i"/>
  </s>
  <s>
    <k n="Hora de la última operación" t="s"/>
  </s>
  <s>
    <k n="Name" t="i"/>
    <k n="Price" t="i"/>
    <k n="Change" t="i"/>
    <k n="Change (%)" t="i"/>
    <k n="52 week low" t="i"/>
    <k n="52 week high" t="i"/>
    <k n="Previous close" t="i"/>
    <k n="Last trade time" t="i"/>
    <k n="`%EntityServiceId" t="i"/>
  </s>
  <s>
    <k n="Last trade time" t="s"/>
  </s>
  <s>
    <k n="Low" t="i"/>
    <k n="P/E" t="i"/>
    <k n="Beta"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k n="Price (Extended hours)" t="i"/>
    <k n="Change (Extended hours)" t="i"/>
    <k n="Change % (Extended hours)" t="i"/>
  </s>
  <s>
    <k n="Price" t="s"/>
    <k n="Change" t="s"/>
    <k n="Change (%)" t="s"/>
    <k n="ExchangeID" t="s"/>
    <k n="Last trade time" t="s"/>
    <k n="Price (Extended hours)" t="s"/>
    <k n="Change (Extended hours)" t="s"/>
    <k n="Change % (Extended hours)"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7">
    <x:dxf>
      <x:numFmt numFmtId="2" formatCode="0.00"/>
    </x:dxf>
    <x:dxf>
      <x:numFmt numFmtId="0" formatCode="General"/>
    </x:dxf>
    <x:dxf>
      <x:numFmt numFmtId="27" formatCode="dd/mm/yyyy\ hh:mm"/>
    </x:dxf>
    <x:dxf>
      <x:numFmt numFmtId="14" formatCode="0.00%"/>
    </x:dxf>
    <x:dxf>
      <x:numFmt numFmtId="3" formatCode="#,##0"/>
    </x:dxf>
    <x:dxf>
      <x:numFmt numFmtId="4" formatCode="#,##0.00"/>
    </x:dxf>
    <x:dxf>
      <x:numFmt numFmtId="1" formatCode="0"/>
    </x:dxf>
  </dxfs>
  <richProperties>
    <rPr n="NumberFormat" t="s"/>
    <rPr n="IsTitleField" t="b"/>
  </richProperties>
  <richStyles>
    <rSty dxfid="5">
      <rpv i="0">#,##0.00</rpv>
    </rSty>
    <rSty dxfid="1">
      <rpv i="0" xml:space="preserve">_ [$kr-smj-NO] * #,##0.00_ ;_ [$kr-smj-NO] * -#,##0.00_ ;_ [$kr-smj-NO] * "-"??_ ;_ @_ </rpv>
    </rSty>
    <rSty>
      <rpv i="1">1</rpv>
    </rSty>
    <rSty dxfid="4">
      <rpv i="0">#,##0</rpv>
    </rSty>
    <rSty dxfid="3"/>
    <rSty dxfid="0">
      <rpv i="0">0.00</rpv>
    </rSty>
    <rSty dxfid="6">
      <rpv i="0">0</rpv>
    </rSty>
    <rSty dxfid="1">
      <rpv i="0" xml:space="preserve">_ [$kr-smj-NO] * #,##0_ ;_ [$kr-smj-NO] * -#,##0_ ;_ [$kr-smj-NO] * "-"_ ;_ @_ </rpv>
    </rSty>
    <rSty dxfid="2"/>
    <rSty dxfid="1">
      <rpv i="0">_([$$-en-US]* #,##0.00_);_([$$-en-US]* (#,##0.00);_([$$-en-US]* "-"??_);_(@_)</rpv>
    </rSty>
    <rSty dxfid="1">
      <rpv i="0">_([$$-en-US]* #,##0_);_([$$-en-US]* (#,##0);_([$$-en-US]* "-"_);_(@_)</rpv>
    </rSty>
    <rSty dxfid="1">
      <rpv i="0">_([$€-x-euro2] * #,##0.00_);_([$€-x-euro2] * (#,##0.00);_([$€-x-euro2] * "-"??_);_(@_)</rpv>
    </rSty>
    <rSty dxfid="1">
      <rpv i="0">_([$€-x-euro2] * #,##0_);_([$€-x-euro2] * (#,##0);_([$€-x-euro2] * "-"_);_(@_)</rpv>
    </rSty>
    <rSty dxfid="1">
      <rpv i="0">_-* #,##0 [$kr-fo-FO]_-;-* #,##0 [$kr-fo-FO]_-;_-* "-" [$kr-fo-FO]_-;_-@_-</rpv>
    </rSty>
  </richStyles>
</richStyleSheet>
</file>

<file path=xl/theme/theme1.xml><?xml version="1.0" encoding="utf-8"?>
<a:theme xmlns:a="http://schemas.openxmlformats.org/drawingml/2006/main" name="Tercio Model Theme">
  <a:themeElements>
    <a:clrScheme name="d'Angelin &amp; Co">
      <a:dk1>
        <a:sysClr val="windowText" lastClr="000000"/>
      </a:dk1>
      <a:lt1>
        <a:srgbClr val="FFFFFF"/>
      </a:lt1>
      <a:dk2>
        <a:srgbClr val="FFC8C8"/>
      </a:dk2>
      <a:lt2>
        <a:srgbClr val="D2EBFF"/>
      </a:lt2>
      <a:accent1>
        <a:srgbClr val="DCFADC"/>
      </a:accent1>
      <a:accent2>
        <a:srgbClr val="FFD8A3"/>
      </a:accent2>
      <a:accent3>
        <a:srgbClr val="DFDFE9"/>
      </a:accent3>
      <a:accent4>
        <a:srgbClr val="FFFFC8"/>
      </a:accent4>
      <a:accent5>
        <a:srgbClr val="E31837"/>
      </a:accent5>
      <a:accent6>
        <a:srgbClr val="D2EBFF"/>
      </a:accent6>
      <a:hlink>
        <a:srgbClr val="78BEEB"/>
      </a:hlink>
      <a:folHlink>
        <a:srgbClr val="5B9BD5"/>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sz="1100" b="1">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2" dT="2024-05-29T18:51:45.80" personId="{68343F63-79DC-4627-8F61-2E0DE49A7225}" id="{1578BD9B-21A0-482E-B7FA-B5A082A948F5}">
    <text>The company makes roughly 3% of external DOP revenues as income, which is included on the "other operating income"</text>
  </threadedComment>
  <threadedComment ref="J160" dT="2024-06-17T16:42:57.45" personId="{68343F63-79DC-4627-8F61-2E0DE49A7225}" id="{06290DE8-87FB-4152-8305-472DF239A8FF}">
    <text>Eco if it was   Built&gt;2014</text>
  </threadedComment>
  <threadedComment ref="AD348" dT="2024-05-27T19:53:24.02" personId="{68343F63-79DC-4627-8F61-2E0DE49A7225}" id="{659D6579-F603-4B79-A605-12ADF273EBC4}">
    <text>Cuidado! Los TC in tiene 0% de ownership pero facturan como si fueran owned</text>
  </threadedComment>
  <threadedComment ref="M362" dT="2024-05-23T20:31:20.63" personId="{68343F63-79DC-4627-8F61-2E0DE49A7225}" id="{8AE8A392-F965-4A01-915F-850F09766E05}">
    <text>The average estimated broker value of the owned fleet was USD 4,682 million.</text>
  </threadedComment>
  <threadedComment ref="F376" dT="2024-05-27T20:03:40.59" personId="{68343F63-79DC-4627-8F61-2E0DE49A7225}" id="{A308F117-244A-493A-BE26-E4B05621D8AF}">
    <text>We include dividends (positively) if we compute the NAV forwards since they will be distributed along the time between now and the future time and the cash already reflects that so we basicallt "add them back"</text>
  </threadedComment>
</ThreadedComments>
</file>

<file path=xl/threadedComments/threadedComment2.xml><?xml version="1.0" encoding="utf-8"?>
<ThreadedComments xmlns="http://schemas.microsoft.com/office/spreadsheetml/2018/threadedcomments" xmlns:x="http://schemas.openxmlformats.org/spreadsheetml/2006/main">
  <threadedComment ref="U243" dT="2024-04-24T17:38:12.29" personId="{5046A748-3AC3-4779-AA80-F8AE56E57EF7}" id="{8D865DF7-E7EA-4046-BC60-569086A0BCB0}">
    <text>As of Q4 2023</text>
  </threadedComment>
  <threadedComment ref="V243" dT="2024-04-24T17:38:12.29" personId="{5046A748-3AC3-4779-AA80-F8AE56E57EF7}" id="{EBE9301C-1188-49C1-80E1-53D8F1A6A679}">
    <text>As of Q4 2023</text>
  </threadedComment>
  <threadedComment ref="W243" dT="2024-04-24T17:38:12.29" personId="{5046A748-3AC3-4779-AA80-F8AE56E57EF7}" id="{AE6C3D13-3C75-41B4-A4CD-AB457ABA9676}">
    <text>As of Q4 2023</text>
  </threadedComment>
  <threadedComment ref="X243" dT="2024-04-24T17:38:12.29" personId="{5046A748-3AC3-4779-AA80-F8AE56E57EF7}" id="{CFEF451A-4CCD-4DFA-98ED-DAE66CE1EBB4}">
    <text>As of Q4 2023</text>
  </threadedComment>
  <threadedComment ref="Z243" dT="2024-04-24T17:38:12.29" personId="{5046A748-3AC3-4779-AA80-F8AE56E57EF7}" id="{48381576-AC05-4BF2-A393-A2E374985B8B}">
    <text>As of Q4 2023</text>
  </threadedComment>
  <threadedComment ref="AA243" dT="2024-04-24T17:38:12.29" personId="{5046A748-3AC3-4779-AA80-F8AE56E57EF7}" id="{0737741B-BA60-48B8-A2B2-ABB677DAAAD0}">
    <text>As of Q4 2023</text>
  </threadedComment>
  <threadedComment ref="AB243" dT="2024-04-24T17:38:12.29" personId="{5046A748-3AC3-4779-AA80-F8AE56E57EF7}" id="{53289928-82C2-4598-973A-B7EDABBA490D}">
    <text>As of Q4 2023</text>
  </threadedComment>
  <threadedComment ref="AC243" dT="2024-04-24T17:38:12.29" personId="{5046A748-3AC3-4779-AA80-F8AE56E57EF7}" id="{D8B92CEA-762B-419A-BC28-013D718DA4A7}">
    <text>As of Q4 2023</text>
  </threadedComment>
  <threadedComment ref="U244" dT="2024-04-24T17:38:12.29" personId="{5046A748-3AC3-4779-AA80-F8AE56E57EF7}" id="{AD6AE504-7169-4423-A5B9-F264AA5DB396}">
    <text>As of Q4 2023</text>
  </threadedComment>
  <threadedComment ref="V244" dT="2024-04-24T17:38:12.29" personId="{5046A748-3AC3-4779-AA80-F8AE56E57EF7}" id="{737F594A-877D-4B42-AD35-1F42C11C8A6A}">
    <text>As of Q4 2023</text>
  </threadedComment>
  <threadedComment ref="W244" dT="2024-04-24T17:38:12.29" personId="{5046A748-3AC3-4779-AA80-F8AE56E57EF7}" id="{133A33D7-9D10-48EB-885B-328DE832D593}">
    <text>As of Q4 2023</text>
  </threadedComment>
  <threadedComment ref="X244" dT="2024-04-24T17:38:12.29" personId="{5046A748-3AC3-4779-AA80-F8AE56E57EF7}" id="{134E666E-BBDD-49E6-80FF-57D5D91D9F78}">
    <text>As of Q4 2023</text>
  </threadedComment>
  <threadedComment ref="Z244" dT="2024-04-24T17:38:12.29" personId="{5046A748-3AC3-4779-AA80-F8AE56E57EF7}" id="{8E0D945E-13A3-4591-B986-4CE9B556D4F6}">
    <text>As of Q4 2023</text>
  </threadedComment>
  <threadedComment ref="AA244" dT="2024-04-24T17:38:12.29" personId="{5046A748-3AC3-4779-AA80-F8AE56E57EF7}" id="{7D547151-18A1-4D02-A2CC-D79FA21C3780}">
    <text>As of Q4 2023</text>
  </threadedComment>
  <threadedComment ref="AB244" dT="2024-04-24T17:38:12.29" personId="{5046A748-3AC3-4779-AA80-F8AE56E57EF7}" id="{D2D81F7A-2841-45DD-9620-EB9E11ABE3E2}">
    <text>As of Q4 2023</text>
  </threadedComment>
  <threadedComment ref="AC244" dT="2024-04-24T17:38:12.29" personId="{5046A748-3AC3-4779-AA80-F8AE56E57EF7}" id="{D9EE0B63-8F18-4E2B-B7D9-ED54397FFED7}">
    <text>As of Q4 2023</text>
  </threadedComment>
  <threadedComment ref="U245" dT="2024-04-24T17:38:12.29" personId="{5046A748-3AC3-4779-AA80-F8AE56E57EF7}" id="{83AD9DEA-A51B-435E-8C95-661857E6D1FE}">
    <text>As of Q4 2023</text>
  </threadedComment>
  <threadedComment ref="V245" dT="2024-04-24T17:38:12.29" personId="{5046A748-3AC3-4779-AA80-F8AE56E57EF7}" id="{51C28766-8BD1-4B79-AC70-E52257A58F2D}">
    <text>As of Q4 2023</text>
  </threadedComment>
  <threadedComment ref="W245" dT="2024-04-24T17:38:12.29" personId="{5046A748-3AC3-4779-AA80-F8AE56E57EF7}" id="{964739E8-9F67-4E58-ABC6-94F5515CCB55}">
    <text>As of Q4 2023</text>
  </threadedComment>
  <threadedComment ref="X245" dT="2024-04-24T17:38:12.29" personId="{5046A748-3AC3-4779-AA80-F8AE56E57EF7}" id="{A8C194EA-B4D0-4314-8926-4D0077BF763E}">
    <text>As of Q4 2023</text>
  </threadedComment>
  <threadedComment ref="Z245" dT="2024-04-24T17:38:12.29" personId="{5046A748-3AC3-4779-AA80-F8AE56E57EF7}" id="{76FB50DB-EE98-4591-904E-5DF81A02AF46}">
    <text>As of Q4 2023</text>
  </threadedComment>
  <threadedComment ref="AA245" dT="2024-04-24T17:38:12.29" personId="{5046A748-3AC3-4779-AA80-F8AE56E57EF7}" id="{E790DB8F-6A53-489A-B7C5-6B05DE5D949B}">
    <text>As of Q4 2023</text>
  </threadedComment>
  <threadedComment ref="AB245" dT="2024-04-24T17:38:12.29" personId="{5046A748-3AC3-4779-AA80-F8AE56E57EF7}" id="{999FEA48-D29A-46A5-B8A9-AB53408FA7D2}">
    <text>As of Q4 2023</text>
  </threadedComment>
  <threadedComment ref="AC245" dT="2024-04-24T17:38:12.29" personId="{5046A748-3AC3-4779-AA80-F8AE56E57EF7}" id="{7946695D-C45A-456D-A119-F22BE396DC74}">
    <text>As of Q4 2023</text>
  </threadedComment>
  <threadedComment ref="U252" dT="2024-04-24T17:38:12.29" personId="{5046A748-3AC3-4779-AA80-F8AE56E57EF7}" id="{9EE0C381-9179-425E-A08A-CB5ED45B4774}">
    <text>As of Q4 2023</text>
  </threadedComment>
  <threadedComment ref="V252" dT="2024-04-24T17:38:12.29" personId="{5046A748-3AC3-4779-AA80-F8AE56E57EF7}" id="{F2FC01D6-6805-4993-B366-EEB316278603}">
    <text>As of Q4 2023</text>
  </threadedComment>
  <threadedComment ref="W252" dT="2024-04-24T17:38:12.29" personId="{5046A748-3AC3-4779-AA80-F8AE56E57EF7}" id="{4D6ADC69-D8FA-4E02-8760-DB3704562E91}">
    <text>As of Q4 2023</text>
  </threadedComment>
  <threadedComment ref="X252" dT="2024-04-24T17:38:12.29" personId="{5046A748-3AC3-4779-AA80-F8AE56E57EF7}" id="{1687A05A-5D35-41B5-830A-D2BE88D1D4CC}">
    <text>As of Q4 2023</text>
  </threadedComment>
  <threadedComment ref="U253" dT="2024-04-24T17:38:12.29" personId="{5046A748-3AC3-4779-AA80-F8AE56E57EF7}" id="{348A949D-1CD0-4657-98B6-CB255B930E79}">
    <text>As of Q4 2023</text>
  </threadedComment>
  <threadedComment ref="V253" dT="2024-04-24T17:38:30.50" personId="{5046A748-3AC3-4779-AA80-F8AE56E57EF7}" id="{DC9509FD-193E-4BCB-8C47-8CB19AE988EA}">
    <text>As of Q4 2023</text>
  </threadedComment>
  <threadedComment ref="W253" dT="2024-04-24T17:38:34.96" personId="{5046A748-3AC3-4779-AA80-F8AE56E57EF7}" id="{171612C2-35AE-4ECC-8F1C-6541FFE9F411}">
    <text>As of Q4 2023</text>
  </threadedComment>
  <threadedComment ref="U265" dT="2024-04-24T17:38:12.29" personId="{5046A748-3AC3-4779-AA80-F8AE56E57EF7}" id="{E1236E72-425A-4526-A0AD-068AD203DEF7}">
    <text>As of Q4 2023</text>
  </threadedComment>
  <threadedComment ref="V265" dT="2024-04-24T17:38:12.29" personId="{5046A748-3AC3-4779-AA80-F8AE56E57EF7}" id="{B16774D9-80A3-4E16-B116-58E1183C7597}">
    <text>As of Q4 2023</text>
  </threadedComment>
  <threadedComment ref="W265" dT="2024-04-24T17:38:12.29" personId="{5046A748-3AC3-4779-AA80-F8AE56E57EF7}" id="{3689A062-4B7B-4B29-AC90-90E288310CD4}">
    <text>As of Q4 2023</text>
  </threadedComment>
  <threadedComment ref="X265" dT="2024-04-24T17:38:12.29" personId="{5046A748-3AC3-4779-AA80-F8AE56E57EF7}" id="{1391E1CF-274D-4FCD-A8BB-C3663F6EC52A}">
    <text>As of Q4 2023</text>
  </threadedComment>
  <threadedComment ref="Z265" dT="2024-04-24T17:38:12.29" personId="{5046A748-3AC3-4779-AA80-F8AE56E57EF7}" id="{7C02992A-C33E-4B1B-912E-3FD9369359EB}">
    <text>As of Q4 2023</text>
  </threadedComment>
  <threadedComment ref="AA265" dT="2024-04-24T17:38:12.29" personId="{5046A748-3AC3-4779-AA80-F8AE56E57EF7}" id="{ABA1F1C6-2A30-4B2F-8194-A827777882D5}">
    <text>As of Q4 2023</text>
  </threadedComment>
  <threadedComment ref="U277" dT="2024-04-24T17:38:12.29" personId="{5046A748-3AC3-4779-AA80-F8AE56E57EF7}" id="{DA8A4FFC-5F87-4D9D-99E5-3767F499E27A}">
    <text>As of Q4 2023</text>
  </threadedComment>
  <threadedComment ref="V277" dT="2024-04-24T17:38:12.29" personId="{5046A748-3AC3-4779-AA80-F8AE56E57EF7}" id="{6D1250DE-452D-4782-BF48-B30BEE25874F}">
    <text>As of Q4 2023</text>
  </threadedComment>
  <threadedComment ref="W277" dT="2024-04-24T17:38:12.29" personId="{5046A748-3AC3-4779-AA80-F8AE56E57EF7}" id="{11B32DED-24D6-42B6-AD74-ED36B72880F6}">
    <text>As of Q4 2023</text>
  </threadedComment>
  <threadedComment ref="X277" dT="2024-04-24T17:38:12.29" personId="{5046A748-3AC3-4779-AA80-F8AE56E57EF7}" id="{1129DD31-34CA-4350-A9C4-8E668A660D4B}">
    <text>As of Q4 2023</text>
  </threadedComment>
  <threadedComment ref="Z277" dT="2024-04-24T17:38:12.29" personId="{5046A748-3AC3-4779-AA80-F8AE56E57EF7}" id="{C3809E9F-09DF-43E2-B610-CA137DDCC9D8}">
    <text>As of Q4 2023</text>
  </threadedComment>
  <threadedComment ref="U280" dT="2024-04-24T17:38:12.29" personId="{5046A748-3AC3-4779-AA80-F8AE56E57EF7}" id="{701D3A6B-2FB3-4099-9CCF-2B0DAC7A1BB6}">
    <text>As of Q4 2023</text>
  </threadedComment>
  <threadedComment ref="V280" dT="2024-04-24T17:38:12.29" personId="{5046A748-3AC3-4779-AA80-F8AE56E57EF7}" id="{7A5EAF2D-54BB-47FE-87C1-22349B911EF0}">
    <text>As of Q4 2023</text>
  </threadedComment>
  <threadedComment ref="W280" dT="2024-04-24T17:38:12.29" personId="{5046A748-3AC3-4779-AA80-F8AE56E57EF7}" id="{40E960D8-0B50-4231-AE2D-431B8E03E2A9}">
    <text>As of Q4 2023</text>
  </threadedComment>
  <threadedComment ref="X280" dT="2024-04-24T17:38:12.29" personId="{5046A748-3AC3-4779-AA80-F8AE56E57EF7}" id="{7A36E2A3-9D2E-4C96-8375-64D85352A289}">
    <text>As of Q4 2023</text>
  </threadedComment>
  <threadedComment ref="Z280" dT="2024-04-24T17:40:47.75" personId="{5046A748-3AC3-4779-AA80-F8AE56E57EF7}" id="{A7D56BCD-FDB3-46F1-8D35-BB1958FAE16D}">
    <text>As Q4 2023</text>
  </threadedComment>
  <threadedComment ref="U281" dT="2024-04-24T17:38:12.29" personId="{5046A748-3AC3-4779-AA80-F8AE56E57EF7}" id="{49A707ED-16C8-4D3B-9AB8-CA37AF29A1D8}">
    <text>As of Q4 2023</text>
  </threadedComment>
  <threadedComment ref="V281" dT="2024-04-24T17:38:12.29" personId="{5046A748-3AC3-4779-AA80-F8AE56E57EF7}" id="{ED679634-0DD6-4923-926A-3662E59C6727}">
    <text>As of Q4 2023</text>
  </threadedComment>
  <threadedComment ref="W281" dT="2024-04-24T17:38:12.29" personId="{5046A748-3AC3-4779-AA80-F8AE56E57EF7}" id="{81F1BF00-ED39-4472-A581-2426CD98CB0D}">
    <text>As of Q4 2023</text>
  </threadedComment>
  <threadedComment ref="X281" dT="2024-04-24T17:38:12.29" personId="{5046A748-3AC3-4779-AA80-F8AE56E57EF7}" id="{6F3F7150-4928-4ACB-8416-B51C751D1562}">
    <text>As of Q4 2023</text>
  </threadedComment>
  <threadedComment ref="Z281" dT="2024-04-24T17:40:47.75" personId="{5046A748-3AC3-4779-AA80-F8AE56E57EF7}" id="{A6B3C8FA-4728-404F-8942-8FBB1A460C99}">
    <text>As Q4 2023</text>
  </threadedComment>
  <threadedComment ref="U289" dT="2024-04-24T17:38:12.29" personId="{5046A748-3AC3-4779-AA80-F8AE56E57EF7}" id="{73FB3CC5-1EE2-4405-BECC-D7F533D1CD77}">
    <text>As of Q4 2023</text>
  </threadedComment>
  <threadedComment ref="V289" dT="2024-04-24T17:38:12.29" personId="{5046A748-3AC3-4779-AA80-F8AE56E57EF7}" id="{3EBBE5AA-4721-46B6-BB3A-846E17FC603F}">
    <text>As of Q4 2023</text>
  </threadedComment>
  <threadedComment ref="W289" dT="2024-04-24T17:38:12.29" personId="{5046A748-3AC3-4779-AA80-F8AE56E57EF7}" id="{47870796-42ED-40F0-AD6B-449F4C74F388}">
    <text>As of Q4 2023</text>
  </threadedComment>
  <threadedComment ref="X289" dT="2024-04-24T17:38:12.29" personId="{5046A748-3AC3-4779-AA80-F8AE56E57EF7}" id="{506A85F7-FB3B-490F-873C-2729D095BE34}">
    <text>As of Q4 2023</text>
  </threadedComment>
  <threadedComment ref="Z289" dT="2024-04-24T17:38:12.29" personId="{5046A748-3AC3-4779-AA80-F8AE56E57EF7}" id="{35733C8B-52A5-4A69-BC8B-A39FB0AEB8BD}">
    <text>As of Q4 2023</text>
  </threadedComment>
  <threadedComment ref="AA289" dT="2024-04-24T17:38:12.29" personId="{5046A748-3AC3-4779-AA80-F8AE56E57EF7}" id="{45E272FA-A014-475A-BE3A-9477806B13C2}">
    <text>As of Q4 2023</text>
  </threadedComment>
  <threadedComment ref="AB289" dT="2024-04-24T17:38:12.29" personId="{5046A748-3AC3-4779-AA80-F8AE56E57EF7}" id="{66CBFB0D-3B20-47F5-BF65-4A3D94BD2AF4}">
    <text>As of Q4 2023</text>
  </threadedComment>
  <threadedComment ref="AC289" dT="2024-04-24T17:38:12.29" personId="{5046A748-3AC3-4779-AA80-F8AE56E57EF7}" id="{A26B90AB-2F1B-4E2E-AA61-23FD6282B739}">
    <text>As of Q4 2023</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cmegroup.com/markets/energy/refined-products/singapore-fob-marine-fuel-05-platts.html" TargetMode="External"/><Relationship Id="rId1" Type="http://schemas.openxmlformats.org/officeDocument/2006/relationships/hyperlink" Target="https://www.cmegroup.com/markets/energy/refined-products/singapore-380cst-fuel-oil-platts-swap-futures.html"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71BBE-D2D8-4964-B061-8B1077CCF5A2}">
  <dimension ref="A1:T42"/>
  <sheetViews>
    <sheetView showGridLines="0" topLeftCell="C1" zoomScale="140" zoomScaleNormal="140" zoomScaleSheetLayoutView="130" workbookViewId="0">
      <pane xSplit="1" ySplit="3" topLeftCell="D4" activePane="bottomRight" state="frozen"/>
      <selection activeCell="C1" sqref="C1"/>
      <selection pane="topRight" activeCell="D1" sqref="D1"/>
      <selection pane="bottomLeft" activeCell="C4" sqref="C4"/>
      <selection pane="bottomRight" activeCell="R28" sqref="R28"/>
    </sheetView>
  </sheetViews>
  <sheetFormatPr defaultColWidth="0" defaultRowHeight="12.75" zeroHeight="1" outlineLevelRow="1" outlineLevelCol="1" x14ac:dyDescent="0.25"/>
  <cols>
    <col min="1" max="2" width="2.7109375" style="1" customWidth="1"/>
    <col min="3" max="3" width="40.140625" style="2" bestFit="1" customWidth="1"/>
    <col min="4" max="10" width="15.7109375" style="1" hidden="1" customWidth="1" outlineLevel="1"/>
    <col min="11" max="11" width="15.7109375" style="1" customWidth="1" collapsed="1"/>
    <col min="12" max="18" width="15.7109375" style="1" customWidth="1"/>
    <col min="19" max="20" width="2.5703125" style="1" customWidth="1"/>
    <col min="21" max="16384" width="10.7109375" style="1" hidden="1"/>
  </cols>
  <sheetData>
    <row r="1" spans="3:18" ht="9.9499999999999993" customHeight="1" x14ac:dyDescent="0.25"/>
    <row r="2" spans="3:18" ht="9.9499999999999993" customHeight="1" x14ac:dyDescent="0.25">
      <c r="C2" s="8"/>
    </row>
    <row r="3" spans="3:18" ht="13.5" thickBot="1" x14ac:dyDescent="0.3">
      <c r="C3" s="43" t="s">
        <v>27</v>
      </c>
      <c r="D3" s="44" t="s">
        <v>28</v>
      </c>
      <c r="E3" s="44" t="s">
        <v>31</v>
      </c>
      <c r="F3" s="44" t="s">
        <v>32</v>
      </c>
      <c r="G3" s="44" t="s">
        <v>33</v>
      </c>
      <c r="H3" s="44" t="s">
        <v>167</v>
      </c>
      <c r="I3" s="44" t="s">
        <v>168</v>
      </c>
      <c r="J3" s="44" t="s">
        <v>169</v>
      </c>
      <c r="K3" s="44" t="s">
        <v>29</v>
      </c>
      <c r="L3" s="44" t="s">
        <v>170</v>
      </c>
      <c r="M3" s="44" t="s">
        <v>30</v>
      </c>
      <c r="N3" s="44" t="s">
        <v>38</v>
      </c>
      <c r="O3" s="44" t="s">
        <v>47</v>
      </c>
      <c r="P3" s="44" t="s">
        <v>48</v>
      </c>
      <c r="Q3" s="44" t="s">
        <v>45</v>
      </c>
      <c r="R3" s="44" t="s">
        <v>46</v>
      </c>
    </row>
    <row r="4" spans="3:18" ht="13.5" thickBot="1" x14ac:dyDescent="0.3">
      <c r="C4" s="45" t="s">
        <v>0</v>
      </c>
      <c r="D4" s="27"/>
      <c r="E4" s="27"/>
      <c r="F4" s="27"/>
      <c r="G4" s="27"/>
      <c r="H4" s="27"/>
      <c r="I4" s="27"/>
      <c r="J4" s="27"/>
      <c r="K4" s="27"/>
      <c r="L4" s="27"/>
      <c r="M4" s="27"/>
      <c r="N4" s="27"/>
      <c r="O4" s="27"/>
      <c r="P4" s="27"/>
      <c r="Q4" s="27"/>
      <c r="R4" s="27"/>
    </row>
    <row r="5" spans="3:18" hidden="1" outlineLevel="1" x14ac:dyDescent="0.25">
      <c r="C5" s="2" t="e" vm="1">
        <v>#VALUE!</v>
      </c>
      <c r="D5" s="4" cm="1">
        <f t="array" ref="D5">_FV(C5,"Precio")</f>
        <v>151.80000000000001</v>
      </c>
      <c r="E5" s="3" cm="1">
        <f t="array" ref="E5">_FV(C5,"Cambio (%)",TRUE)</f>
        <v>-3.0651000000000001E-2</v>
      </c>
      <c r="F5" s="4" cm="1">
        <f t="array" ref="F5">_FV(C5,"Máximo en 52 semanas",TRUE)</f>
        <v>174.8</v>
      </c>
      <c r="G5" s="4" cm="1">
        <f t="array" ref="G5">_FV(C5,"Mínimo en 52 semanas",TRUE)</f>
        <v>80.45</v>
      </c>
      <c r="H5" s="4" cm="1">
        <f t="array" ref="H5">_FV(C5,"Capitalización de mercado",TRUE)/1000000</f>
        <v>3472.7809999999999</v>
      </c>
      <c r="I5" s="4">
        <f>+H5*D35</f>
        <v>327.86525420999999</v>
      </c>
      <c r="J5" s="4"/>
      <c r="K5" s="9"/>
      <c r="L5" s="9"/>
      <c r="M5" s="9"/>
      <c r="N5" s="9"/>
      <c r="O5" s="10"/>
      <c r="P5" s="10"/>
      <c r="Q5" s="11"/>
      <c r="R5" s="11"/>
    </row>
    <row r="6" spans="3:18" hidden="1" outlineLevel="1" x14ac:dyDescent="0.25">
      <c r="C6" s="2" t="e" vm="2">
        <v>#VALUE!</v>
      </c>
      <c r="D6" s="4" cm="1">
        <f t="array" ref="D6">_FV(C6,"Precio")</f>
        <v>22.7</v>
      </c>
      <c r="E6" s="3" cm="1">
        <f t="array" ref="E6">_FV(C6,"Cambio (%)",TRUE)</f>
        <v>-6.5649999999999997E-3</v>
      </c>
      <c r="F6" s="4" cm="1">
        <f t="array" ref="F6">_FV(C6,"Máximo en 52 semanas",TRUE)</f>
        <v>26.2</v>
      </c>
      <c r="G6" s="4" cm="1">
        <f t="array" ref="G6">_FV(C6,"Mínimo en 52 semanas",TRUE)</f>
        <v>15.4</v>
      </c>
      <c r="H6" s="4" cm="1">
        <f t="array" ref="H6">_FV(C6,"Capitalización de mercado",TRUE)/1000000</f>
        <v>5747.82</v>
      </c>
      <c r="I6" s="4">
        <f>+H6*$D$35</f>
        <v>542.65168619999997</v>
      </c>
      <c r="J6" s="4"/>
      <c r="K6" s="9"/>
      <c r="L6" s="9"/>
      <c r="M6" s="9"/>
      <c r="N6" s="9"/>
      <c r="O6" s="10"/>
      <c r="P6" s="10"/>
      <c r="Q6" s="11"/>
      <c r="R6" s="11"/>
    </row>
    <row r="7" spans="3:18" hidden="1" outlineLevel="1" x14ac:dyDescent="0.25">
      <c r="C7" s="2" t="e" vm="3">
        <v>#VALUE!</v>
      </c>
      <c r="D7" s="4" cm="1">
        <f t="array" ref="D7">_FV(C7,"Precio")</f>
        <v>12.85</v>
      </c>
      <c r="E7" s="3" cm="1">
        <f t="array" ref="E7">_FV(C7,"Cambio (%)",TRUE)</f>
        <v>-4.1759999999999999E-2</v>
      </c>
      <c r="F7" s="4" cm="1">
        <f t="array" ref="F7">_FV(C7,"Máximo en 52 semanas",TRUE)</f>
        <v>15.77</v>
      </c>
      <c r="G7" s="4" cm="1">
        <f t="array" ref="G7">_FV(C7,"Mínimo en 52 semanas",TRUE)</f>
        <v>6.89</v>
      </c>
      <c r="H7" s="4" cm="1">
        <f t="array" ref="H7">_FV(C7,"Capitalización de mercado",TRUE)/1000000</f>
        <v>2565.2240000000002</v>
      </c>
      <c r="I7" s="4">
        <f t="shared" ref="I7:I15" si="0">+H7</f>
        <v>2565.2240000000002</v>
      </c>
      <c r="J7" s="4"/>
      <c r="K7" s="9"/>
      <c r="L7" s="9"/>
      <c r="M7" s="9"/>
      <c r="N7" s="9"/>
      <c r="O7" s="10"/>
      <c r="P7" s="10"/>
      <c r="Q7" s="11"/>
      <c r="R7" s="11"/>
    </row>
    <row r="8" spans="3:18" hidden="1" outlineLevel="1" x14ac:dyDescent="0.25">
      <c r="C8" s="2" t="e" vm="4">
        <v>#VALUE!</v>
      </c>
      <c r="D8" s="4" cm="1">
        <f t="array" ref="D8">_FV(C8,"Precio")</f>
        <v>20.2</v>
      </c>
      <c r="E8" s="3" cm="1">
        <f t="array" ref="E8">_FV(C8,"Cambio (%)",TRUE)</f>
        <v>-4.7169999999999997E-2</v>
      </c>
      <c r="F8" s="4" cm="1">
        <f t="array" ref="F8">_FV(C8,"Máximo en 52 semanas",TRUE)</f>
        <v>23.98</v>
      </c>
      <c r="G8" s="4" cm="1">
        <f t="array" ref="G8">_FV(C8,"Mínimo en 52 semanas",TRUE)</f>
        <v>13.42</v>
      </c>
      <c r="H8" s="4" cm="1">
        <f t="array" ref="H8">_FV(C8,"Capitalización de mercado",TRUE)/1000000</f>
        <v>56.592820000000003</v>
      </c>
      <c r="I8" s="4">
        <f t="shared" si="0"/>
        <v>56.592820000000003</v>
      </c>
      <c r="J8" s="4"/>
      <c r="K8" s="9"/>
      <c r="L8" s="9"/>
      <c r="M8" s="9"/>
      <c r="N8" s="9"/>
      <c r="O8" s="10"/>
      <c r="P8" s="10"/>
      <c r="Q8" s="11"/>
      <c r="R8" s="11"/>
    </row>
    <row r="9" spans="3:18" hidden="1" outlineLevel="1" x14ac:dyDescent="0.25">
      <c r="C9" s="2" t="e" vm="5">
        <v>#VALUE!</v>
      </c>
      <c r="D9" s="4" cm="1">
        <f t="array" ref="D9">_FV(C9,"Precio")</f>
        <v>13.7</v>
      </c>
      <c r="E9" s="3" cm="1">
        <f t="array" ref="E9">_FV(C9,"Cambio (%)",TRUE)</f>
        <v>3.663E-3</v>
      </c>
      <c r="F9" s="4" cm="1">
        <f t="array" ref="F9">_FV(C9,"Máximo en 52 semanas",TRUE)</f>
        <v>14.19</v>
      </c>
      <c r="G9" s="4" cm="1">
        <f t="array" ref="G9">_FV(C9,"Mínimo en 52 semanas",TRUE)</f>
        <v>6.5815000000000001</v>
      </c>
      <c r="H9" s="4" cm="1">
        <f t="array" ref="H9">_FV(C9,"Capitalización de mercado",TRUE)/1000000</f>
        <v>269.69260000000003</v>
      </c>
      <c r="I9" s="4">
        <f t="shared" si="0"/>
        <v>269.69260000000003</v>
      </c>
      <c r="J9" s="4"/>
      <c r="K9" s="9"/>
      <c r="L9" s="9"/>
      <c r="M9" s="9"/>
      <c r="N9" s="9"/>
      <c r="O9" s="10"/>
      <c r="P9" s="10"/>
      <c r="Q9" s="11"/>
      <c r="R9" s="11"/>
    </row>
    <row r="10" spans="3:18" hidden="1" outlineLevel="1" x14ac:dyDescent="0.25">
      <c r="C10" s="2" t="e" vm="6">
        <v>#VALUE!</v>
      </c>
      <c r="D10" s="4" cm="1">
        <f t="array" ref="D10">_FV(C10,"Precio")</f>
        <v>20.45</v>
      </c>
      <c r="E10" s="3" cm="1">
        <f t="array" ref="E10">_FV(C10,"Cambio (%)",TRUE)</f>
        <v>-3.6287E-2</v>
      </c>
      <c r="F10" s="4" cm="1">
        <f t="array" ref="F10">_FV(C10,"Máximo en 52 semanas",TRUE)</f>
        <v>23.43</v>
      </c>
      <c r="G10" s="4" cm="1">
        <f t="array" ref="G10">_FV(C10,"Mínimo en 52 semanas",TRUE)</f>
        <v>12.65</v>
      </c>
      <c r="H10" s="4" cm="1">
        <f t="array" ref="H10">_FV(C10,"Capitalización de mercado",TRUE)/1000000</f>
        <v>874.27329999999995</v>
      </c>
      <c r="I10" s="4">
        <f t="shared" si="0"/>
        <v>874.27329999999995</v>
      </c>
      <c r="J10" s="4"/>
      <c r="K10" s="9"/>
      <c r="L10" s="9"/>
      <c r="M10" s="9"/>
      <c r="N10" s="9"/>
      <c r="O10" s="10"/>
      <c r="P10" s="10"/>
      <c r="Q10" s="11"/>
      <c r="R10" s="11"/>
    </row>
    <row r="11" spans="3:18" hidden="1" outlineLevel="1" x14ac:dyDescent="0.25">
      <c r="C11" s="2" t="e" vm="7">
        <v>#VALUE!</v>
      </c>
      <c r="D11" s="4" cm="1">
        <f t="array" ref="D11">_FV(C11,"Precio")</f>
        <v>55.5</v>
      </c>
      <c r="E11" s="3" cm="1">
        <f t="array" ref="E11">_FV(C11,"Cambio (%)",TRUE)</f>
        <v>-7.8659999999999997E-3</v>
      </c>
      <c r="F11" s="4" cm="1">
        <f t="array" ref="F11">_FV(C11,"Máximo en 52 semanas",TRUE)</f>
        <v>67.09</v>
      </c>
      <c r="G11" s="4" cm="1">
        <f t="array" ref="G11">_FV(C11,"Mínimo en 52 semanas",TRUE)</f>
        <v>39.15</v>
      </c>
      <c r="H11" s="4" cm="1">
        <f t="array" ref="H11">_FV(C11,"Capitalización de mercado",TRUE)/1000000</f>
        <v>616.86130000000003</v>
      </c>
      <c r="I11" s="4">
        <f t="shared" si="0"/>
        <v>616.86130000000003</v>
      </c>
      <c r="J11" s="4"/>
      <c r="K11" s="9"/>
      <c r="L11" s="9"/>
      <c r="M11" s="9"/>
      <c r="N11" s="9"/>
      <c r="O11" s="10"/>
      <c r="P11" s="10"/>
      <c r="Q11" s="11"/>
      <c r="R11" s="11"/>
    </row>
    <row r="12" spans="3:18" hidden="1" outlineLevel="1" x14ac:dyDescent="0.25">
      <c r="C12" s="2" t="e" vm="8">
        <v>#VALUE!</v>
      </c>
      <c r="D12" s="4" cm="1">
        <f t="array" ref="D12">_FV(C12,"Precio")</f>
        <v>23.77</v>
      </c>
      <c r="E12" s="3" cm="1">
        <f t="array" ref="E12">_FV(C12,"Cambio (%)",TRUE)</f>
        <v>-4.3845999999999996E-2</v>
      </c>
      <c r="F12" s="4" cm="1">
        <f t="array" ref="F12">_FV(C12,"Máximo en 52 semanas",TRUE)</f>
        <v>27.47</v>
      </c>
      <c r="G12" s="4" cm="1">
        <f t="array" ref="G12">_FV(C12,"Mínimo en 52 semanas",TRUE)</f>
        <v>16.57</v>
      </c>
      <c r="H12" s="4" cm="1">
        <f t="array" ref="H12">_FV(C12,"Capitalización de mercado",TRUE)/1000000</f>
        <v>2705.2820000000002</v>
      </c>
      <c r="I12" s="4">
        <f t="shared" si="0"/>
        <v>2705.2820000000002</v>
      </c>
      <c r="J12" s="4"/>
      <c r="K12" s="9"/>
      <c r="L12" s="9"/>
      <c r="M12" s="9"/>
      <c r="N12" s="9"/>
      <c r="O12" s="10"/>
      <c r="P12" s="10"/>
      <c r="Q12" s="11"/>
      <c r="R12" s="11"/>
    </row>
    <row r="13" spans="3:18" hidden="1" outlineLevel="1" x14ac:dyDescent="0.25">
      <c r="C13" s="2" t="e" vm="9">
        <v>#VALUE!</v>
      </c>
      <c r="D13" s="4" cm="1">
        <f t="array" ref="D13">_FV(C13,"Precio")</f>
        <v>4.1900000000000004</v>
      </c>
      <c r="E13" s="3" cm="1">
        <f t="array" ref="E13">_FV(C13,"Cambio (%)",TRUE)</f>
        <v>-1.4117999999999999E-2</v>
      </c>
      <c r="F13" s="4" cm="1">
        <f t="array" ref="F13">_FV(C13,"Máximo en 52 semanas",TRUE)</f>
        <v>4.4649999999999999</v>
      </c>
      <c r="G13" s="4" cm="1">
        <f t="array" ref="G13">_FV(C13,"Mínimo en 52 semanas",TRUE)</f>
        <v>2.97</v>
      </c>
      <c r="H13" s="4" cm="1">
        <f t="array" ref="H13">_FV(C13,"Capitalización de mercado",TRUE)/1000000</f>
        <v>467.63668200000001</v>
      </c>
      <c r="I13" s="4">
        <f t="shared" si="0"/>
        <v>467.63668200000001</v>
      </c>
      <c r="J13" s="4"/>
      <c r="K13" s="9"/>
      <c r="L13" s="9"/>
      <c r="M13" s="9"/>
      <c r="N13" s="9"/>
      <c r="O13" s="10"/>
      <c r="P13" s="10"/>
      <c r="Q13" s="11"/>
      <c r="R13" s="11"/>
    </row>
    <row r="14" spans="3:18" hidden="1" outlineLevel="1" x14ac:dyDescent="0.25">
      <c r="C14" s="2" t="e" vm="10">
        <v>#VALUE!</v>
      </c>
      <c r="D14" s="4" cm="1">
        <f t="array" ref="D14">_FV(C14,"Precio")</f>
        <v>11.049899999999999</v>
      </c>
      <c r="E14" s="3" cm="1">
        <f t="array" ref="E14">_FV(C14,"Cambio (%)",TRUE)</f>
        <v>-8.0879999999999997E-3</v>
      </c>
      <c r="F14" s="4" cm="1">
        <f t="array" ref="F14">_FV(C14,"Máximo en 52 semanas",TRUE)</f>
        <v>11.85</v>
      </c>
      <c r="G14" s="4" cm="1">
        <f t="array" ref="G14">_FV(C14,"Mínimo en 52 semanas",TRUE)</f>
        <v>7.71</v>
      </c>
      <c r="H14" s="4" cm="1">
        <f t="array" ref="H14">_FV(C14,"Capitalización de mercado",TRUE)/1000000</f>
        <v>1299.9367549999999</v>
      </c>
      <c r="I14" s="4">
        <f t="shared" si="0"/>
        <v>1299.9367549999999</v>
      </c>
      <c r="J14" s="4"/>
      <c r="K14" s="9"/>
      <c r="L14" s="9"/>
      <c r="M14" s="9"/>
      <c r="N14" s="9"/>
      <c r="O14" s="10"/>
      <c r="P14" s="10"/>
      <c r="Q14" s="11"/>
      <c r="R14" s="11"/>
    </row>
    <row r="15" spans="3:18" ht="13.5" hidden="1" outlineLevel="1" thickBot="1" x14ac:dyDescent="0.3">
      <c r="C15" s="2" t="e" vm="11">
        <v>#VALUE!</v>
      </c>
      <c r="D15" s="4" cm="1">
        <f t="array" ref="D15">_FV(C15,"Precio")</f>
        <v>7.2869999999999999</v>
      </c>
      <c r="E15" s="3" cm="1">
        <f t="array" ref="E15">_FV(C15,"Cambio (%)",TRUE)</f>
        <v>-1.7925E-2</v>
      </c>
      <c r="F15" s="4" cm="1">
        <f t="array" ref="F15">_FV(C15,"Máximo en 52 semanas",TRUE)</f>
        <v>8.3299000000000003</v>
      </c>
      <c r="G15" s="4" cm="1">
        <f t="array" ref="G15">_FV(C15,"Mínimo en 52 semanas",TRUE)</f>
        <v>4.03</v>
      </c>
      <c r="H15" s="4" cm="1">
        <f t="array" ref="H15">_FV(C15,"Capitalización de mercado",TRUE)/1000000</f>
        <v>143.181971</v>
      </c>
      <c r="I15" s="4">
        <f t="shared" si="0"/>
        <v>143.181971</v>
      </c>
      <c r="J15" s="4"/>
      <c r="K15" s="9"/>
      <c r="L15" s="9"/>
      <c r="M15" s="9"/>
      <c r="N15" s="9"/>
      <c r="O15" s="10"/>
      <c r="P15" s="10"/>
      <c r="Q15" s="11"/>
      <c r="R15" s="11"/>
    </row>
    <row r="16" spans="3:18" collapsed="1" x14ac:dyDescent="0.25">
      <c r="C16" s="45" t="s">
        <v>44</v>
      </c>
      <c r="D16" s="27"/>
      <c r="E16" s="27"/>
      <c r="F16" s="27"/>
      <c r="G16" s="27"/>
      <c r="H16" s="27"/>
      <c r="I16" s="27"/>
      <c r="J16" s="27"/>
      <c r="K16" s="27"/>
      <c r="L16" s="27"/>
      <c r="M16" s="27"/>
      <c r="N16" s="27"/>
      <c r="O16" s="27"/>
      <c r="P16" s="27"/>
      <c r="Q16" s="27"/>
      <c r="R16" s="27"/>
    </row>
    <row r="17" spans="3:18" outlineLevel="1" x14ac:dyDescent="0.25">
      <c r="C17" s="2" t="e" vm="12">
        <v>#VALUE!</v>
      </c>
      <c r="D17" s="4" cm="1">
        <f t="array" ref="D17">_FV(C17,"Precio")</f>
        <v>327</v>
      </c>
      <c r="E17" s="3" cm="1">
        <f t="array" ref="E17">_FV(C17,"Cambio (%)",TRUE)</f>
        <v>-1.6541E-2</v>
      </c>
      <c r="F17" s="4" cm="1">
        <f t="array" ref="F17">_FV(C17,"Máximo en 52 semanas",TRUE)</f>
        <v>387</v>
      </c>
      <c r="G17" s="4" cm="1">
        <f t="array" ref="G17">_FV(C17,"Mínimo en 52 semanas",TRUE)</f>
        <v>221.5</v>
      </c>
      <c r="H17" s="4" cm="1">
        <f t="array" ref="H17">_FV(C17,"Capitalización de mercado",TRUE)/1000000</f>
        <v>10758.06</v>
      </c>
      <c r="I17" s="4">
        <f>+H17*D35</f>
        <v>1015.6684445999999</v>
      </c>
      <c r="J17" s="4">
        <f>+I17-Okeanis!D142-Okeanis!D145</f>
        <v>1654.7565535999997</v>
      </c>
      <c r="K17" s="122">
        <f ca="1">+Okeanis!D153</f>
        <v>24.051176815482602</v>
      </c>
      <c r="L17" s="122">
        <f>+Okeanis!E153</f>
        <v>28.696787472612833</v>
      </c>
      <c r="M17" s="136">
        <f ca="1">+Okeanis!D158</f>
        <v>1.2693765562584343</v>
      </c>
      <c r="N17" s="136">
        <f>+Okeanis!E158</f>
        <v>1.0638821515870625</v>
      </c>
      <c r="O17" s="136">
        <f>+I17/Okeanis!Y27</f>
        <v>6.279839087808047</v>
      </c>
      <c r="P17" s="136">
        <f>+I17/Okeanis!AD27</f>
        <v>3.9656930815510192</v>
      </c>
      <c r="Q17" s="137">
        <f>-Okeanis!Y64/'Stocks Valuation'!I17</f>
        <v>0.12099836892842961</v>
      </c>
      <c r="R17" s="137">
        <f>-Okeanis!AD64/'Stocks Valuation'!I17</f>
        <v>0.21392135151175684</v>
      </c>
    </row>
    <row r="18" spans="3:18" outlineLevel="1" x14ac:dyDescent="0.25">
      <c r="C18" s="2" t="e" vm="13">
        <v>#VALUE!</v>
      </c>
      <c r="D18" s="4" cm="1">
        <f t="array" ref="D18">_FV(C18,"Precio")</f>
        <v>23.28</v>
      </c>
      <c r="E18" s="3" cm="1">
        <f t="array" ref="E18">_FV(C18,"Cambio (%)",TRUE)</f>
        <v>1.9710999999999999E-2</v>
      </c>
      <c r="F18" s="4" cm="1">
        <f t="array" ref="F18">_FV(C18,"Máximo en 52 semanas",TRUE)</f>
        <v>23.67</v>
      </c>
      <c r="G18" s="4" cm="1">
        <f t="array" ref="G18">_FV(C18,"Mínimo en 52 semanas",TRUE)</f>
        <v>13.35</v>
      </c>
      <c r="H18" s="4" cm="1">
        <f t="array" ref="H18">_FV(C18,"Capitalización de mercado",TRUE)/1000000</f>
        <v>5182.6611119999998</v>
      </c>
      <c r="I18" s="4">
        <f>+H18</f>
        <v>5182.6611119999998</v>
      </c>
      <c r="J18" s="4"/>
      <c r="K18" s="9"/>
      <c r="L18" s="9"/>
      <c r="M18" s="9"/>
      <c r="N18" s="9"/>
      <c r="O18" s="10"/>
      <c r="P18" s="10"/>
      <c r="Q18" s="11"/>
      <c r="R18" s="11"/>
    </row>
    <row r="19" spans="3:18" outlineLevel="1" x14ac:dyDescent="0.25">
      <c r="C19" s="2" t="e" vm="14">
        <v>#VALUE!</v>
      </c>
      <c r="D19" s="4" cm="1">
        <f t="array" ref="D19">_FV(C19,"Precio")</f>
        <v>52.319899999999997</v>
      </c>
      <c r="E19" s="3" cm="1">
        <f t="array" ref="E19">_FV(C19,"Cambio (%)",TRUE)</f>
        <v>-5.7499999999999999E-4</v>
      </c>
      <c r="F19" s="4" cm="1">
        <f t="array" ref="F19">_FV(C19,"Máximo en 52 semanas",TRUE)</f>
        <v>54.87</v>
      </c>
      <c r="G19" s="4" cm="1">
        <f t="array" ref="G19">_FV(C19,"Mínimo en 52 semanas",TRUE)</f>
        <v>31.7225</v>
      </c>
      <c r="H19" s="4" cm="1">
        <f t="array" ref="H19">_FV(C19,"Capitalización de mercado",TRUE)/1000000</f>
        <v>2558.9145119999998</v>
      </c>
      <c r="I19" s="4">
        <f>+H19</f>
        <v>2558.9145119999998</v>
      </c>
      <c r="J19" s="4">
        <f>+I19+'International Seaways'!R130</f>
        <v>3210.4455119999998</v>
      </c>
      <c r="K19" s="122">
        <f>+'International Seaways'!D224</f>
        <v>46.294225432239024</v>
      </c>
      <c r="L19" s="196"/>
      <c r="M19" s="136">
        <f>+'International Seaways'!D229</f>
        <v>1.1301603928243873</v>
      </c>
      <c r="N19" s="197"/>
      <c r="O19" s="136">
        <f>+I19/'International Seaways'!Y28</f>
        <v>4.5956616096787402</v>
      </c>
      <c r="P19" s="197"/>
      <c r="Q19" s="137">
        <f>-'International Seaways'!Y72/'Stocks Valuation'!I19</f>
        <v>0.10879826289798401</v>
      </c>
      <c r="R19" s="198"/>
    </row>
    <row r="20" spans="3:18" outlineLevel="1" x14ac:dyDescent="0.25">
      <c r="C20" s="2" t="e" vm="15">
        <v>#VALUE!</v>
      </c>
      <c r="D20" s="4" cm="1">
        <f t="array" ref="D20">_FV(C20,"Precio")</f>
        <v>57.384999999999998</v>
      </c>
      <c r="E20" s="3" cm="1">
        <f t="array" ref="E20">_FV(C20,"Cambio (%)",TRUE)</f>
        <v>-1.1285E-2</v>
      </c>
      <c r="F20" s="4" cm="1">
        <f t="array" ref="F20">_FV(C20,"Máximo en 52 semanas",TRUE)</f>
        <v>64.42</v>
      </c>
      <c r="G20" s="4" cm="1">
        <f t="array" ref="G20">_FV(C20,"Mínimo en 52 semanas",TRUE)</f>
        <v>35</v>
      </c>
      <c r="H20" s="4" cm="1">
        <f t="array" ref="H20">_FV(C20,"Capitalización de mercado",TRUE)/1000000</f>
        <v>1956.8285000000001</v>
      </c>
      <c r="I20" s="4">
        <f>+H20</f>
        <v>1956.8285000000001</v>
      </c>
      <c r="J20" s="4"/>
      <c r="K20" s="9"/>
      <c r="L20" s="9"/>
      <c r="M20" s="9"/>
      <c r="N20" s="9"/>
      <c r="O20" s="10"/>
      <c r="P20" s="10"/>
      <c r="Q20" s="11"/>
      <c r="R20" s="11"/>
    </row>
    <row r="21" spans="3:18" outlineLevel="1" x14ac:dyDescent="0.25">
      <c r="C21" s="2" t="e" vm="16">
        <v>#VALUE!</v>
      </c>
      <c r="D21" s="4" cm="1">
        <f t="array" ref="D21">_FV(C21,"Precio")</f>
        <v>11.26</v>
      </c>
      <c r="E21" s="3" cm="1">
        <f t="array" ref="E21">_FV(C21,"Cambio (%)",TRUE)</f>
        <v>-3.5399999999999997E-3</v>
      </c>
      <c r="F21" s="4" cm="1">
        <f t="array" ref="F21">_FV(C21,"Máximo en 52 semanas",TRUE)</f>
        <v>12.13</v>
      </c>
      <c r="G21" s="4" cm="1">
        <f t="array" ref="G21">_FV(C21,"Mínimo en 52 semanas",TRUE)</f>
        <v>7.3</v>
      </c>
      <c r="H21" s="4" cm="1">
        <f t="array" ref="H21">_FV(C21,"Capitalización de mercado",TRUE)/1000000</f>
        <v>1819.2950000000001</v>
      </c>
      <c r="I21" s="4">
        <f>+H21</f>
        <v>1819.2950000000001</v>
      </c>
      <c r="J21" s="4"/>
      <c r="K21" s="9"/>
      <c r="L21" s="9"/>
      <c r="M21" s="9"/>
      <c r="N21" s="9"/>
      <c r="O21" s="10"/>
      <c r="P21" s="10"/>
      <c r="Q21" s="11"/>
      <c r="R21" s="11"/>
    </row>
    <row r="22" spans="3:18" ht="13.5" outlineLevel="1" thickBot="1" x14ac:dyDescent="0.3">
      <c r="C22" s="2" t="e" vm="17">
        <v>#VALUE!</v>
      </c>
      <c r="D22" s="4" cm="1">
        <f t="array" ref="D22">_FV(C22,"Precio")</f>
        <v>24.3</v>
      </c>
      <c r="E22" s="3" cm="1">
        <f t="array" ref="E22">_FV(C22,"Cambio (%)",TRUE)</f>
        <v>4.1320000000000003E-3</v>
      </c>
      <c r="F22" s="4" cm="1">
        <f t="array" ref="F22">_FV(C22,"Máximo en 52 semanas",TRUE)</f>
        <v>25.36</v>
      </c>
      <c r="G22" s="4" cm="1">
        <f t="array" ref="G22">_FV(C22,"Mínimo en 52 semanas",TRUE)</f>
        <v>15.2181</v>
      </c>
      <c r="H22" s="4" cm="1">
        <f t="array" ref="H22">_FV(C22,"Capitalización de mercado",TRUE)/1000000</f>
        <v>716.98608000000002</v>
      </c>
      <c r="I22" s="4">
        <f>+H22</f>
        <v>716.98608000000002</v>
      </c>
      <c r="J22" s="4"/>
      <c r="K22" s="9"/>
      <c r="L22" s="9"/>
      <c r="M22" s="9"/>
      <c r="N22" s="9"/>
      <c r="O22" s="10"/>
      <c r="P22" s="10"/>
      <c r="Q22" s="11"/>
      <c r="R22" s="11"/>
    </row>
    <row r="23" spans="3:18" x14ac:dyDescent="0.25">
      <c r="C23" s="45" t="s">
        <v>36</v>
      </c>
      <c r="D23" s="27"/>
      <c r="E23" s="27"/>
      <c r="F23" s="27"/>
      <c r="G23" s="27"/>
      <c r="H23" s="27"/>
      <c r="I23" s="27"/>
      <c r="J23" s="27"/>
      <c r="K23" s="27"/>
      <c r="L23" s="27"/>
      <c r="M23" s="27"/>
      <c r="N23" s="27"/>
      <c r="O23" s="27"/>
      <c r="P23" s="27"/>
      <c r="Q23" s="27"/>
      <c r="R23" s="27"/>
    </row>
    <row r="24" spans="3:18" outlineLevel="1" x14ac:dyDescent="0.25">
      <c r="C24" s="2" t="e" vm="18">
        <v>#VALUE!</v>
      </c>
      <c r="D24" s="4" cm="1">
        <f t="array" ref="D24">_FV(C24,"Precio")</f>
        <v>16.29</v>
      </c>
      <c r="E24" s="3" cm="1">
        <f t="array" ref="E24">_FV(C24,"Cambio (%)",TRUE)</f>
        <v>-7.3129999999999992E-3</v>
      </c>
      <c r="F24" s="4" cm="1">
        <f t="array" ref="F24">_FV(C24,"Máximo en 52 semanas",TRUE)</f>
        <v>19.405000000000001</v>
      </c>
      <c r="G24" s="4" cm="1">
        <f t="array" ref="G24">_FV(C24,"Mínimo en 52 semanas",TRUE)</f>
        <v>11.59</v>
      </c>
      <c r="H24" s="4" cm="1">
        <f t="array" ref="H24">_FV(C24,"Capitalización de mercado",TRUE)/1000000</f>
        <v>672.75826600000005</v>
      </c>
      <c r="I24" s="4">
        <f>+H24</f>
        <v>672.75826600000005</v>
      </c>
      <c r="J24" s="4"/>
      <c r="K24" s="9"/>
      <c r="L24" s="9"/>
      <c r="M24" s="9"/>
      <c r="N24" s="9"/>
      <c r="O24" s="10"/>
      <c r="P24" s="10"/>
      <c r="Q24" s="11"/>
      <c r="R24" s="11"/>
    </row>
    <row r="25" spans="3:18" outlineLevel="1" x14ac:dyDescent="0.25">
      <c r="C25" s="2" t="e" vm="19">
        <v>#VALUE!</v>
      </c>
      <c r="D25" s="4" cm="1">
        <f t="array" ref="D25">_FV(C25,"Precio")</f>
        <v>6.2</v>
      </c>
      <c r="E25" s="3" cm="1">
        <f t="array" ref="E25">_FV(C25,"Cambio (%)",TRUE)</f>
        <v>1.6393000000000001E-2</v>
      </c>
      <c r="F25" s="4" cm="1">
        <f t="array" ref="F25">_FV(C25,"Máximo en 52 semanas",TRUE)</f>
        <v>6.56</v>
      </c>
      <c r="G25" s="4" cm="1">
        <f t="array" ref="G25">_FV(C25,"Mínimo en 52 semanas",TRUE)</f>
        <v>3.22</v>
      </c>
      <c r="H25" s="4" cm="1">
        <f t="array" ref="H25">_FV(C25,"Capitalización de mercado",TRUE)/1000000</f>
        <v>757.05</v>
      </c>
      <c r="I25" s="4">
        <f>+H25*D36</f>
        <v>816.25130999999999</v>
      </c>
      <c r="J25" s="4"/>
      <c r="K25" s="9"/>
      <c r="L25" s="9"/>
      <c r="M25" s="9"/>
      <c r="N25" s="9"/>
      <c r="O25" s="10"/>
      <c r="P25" s="10"/>
      <c r="Q25" s="11"/>
      <c r="R25" s="11"/>
    </row>
    <row r="26" spans="3:18" outlineLevel="1" x14ac:dyDescent="0.25">
      <c r="C26" s="2" t="e" vm="20">
        <v>#VALUE!</v>
      </c>
      <c r="D26" s="4" cm="1">
        <f t="array" ref="D26">_FV(C26,"Precio")</f>
        <v>34.21</v>
      </c>
      <c r="E26" s="3" cm="1">
        <f t="array" ref="E26">_FV(C26,"Cambio (%)",TRUE)</f>
        <v>4.1089999999999998E-3</v>
      </c>
      <c r="F26" s="4" cm="1">
        <f t="array" ref="F26">_FV(C26,"Máximo en 52 semanas",TRUE)</f>
        <v>37.11</v>
      </c>
      <c r="G26" s="4" cm="1">
        <f t="array" ref="G26">_FV(C26,"Mínimo en 52 semanas",TRUE)</f>
        <v>22.31</v>
      </c>
      <c r="H26" s="4" cm="1">
        <f t="array" ref="H26">_FV(C26,"Capitalización de mercado",TRUE)/1000000</f>
        <v>21466.560000000001</v>
      </c>
      <c r="I26" s="4">
        <f>+H26</f>
        <v>21466.560000000001</v>
      </c>
      <c r="J26" s="4"/>
      <c r="K26" s="9"/>
      <c r="L26" s="9"/>
      <c r="M26" s="9"/>
      <c r="N26" s="9"/>
      <c r="O26" s="10"/>
      <c r="P26" s="10"/>
      <c r="Q26" s="11"/>
      <c r="R26" s="11"/>
    </row>
    <row r="27" spans="3:18" outlineLevel="1" x14ac:dyDescent="0.25">
      <c r="C27" s="2" t="e" vm="21">
        <v>#VALUE!</v>
      </c>
      <c r="D27" s="4" cm="1">
        <f t="array" ref="D27">_FV(C27,"Precio")</f>
        <v>66.34</v>
      </c>
      <c r="E27" s="3" cm="1">
        <f t="array" ref="E27">_FV(C27,"Cambio (%)",TRUE)</f>
        <v>-1.6310999999999999E-2</v>
      </c>
      <c r="F27" s="4" cm="1">
        <f t="array" ref="F27">_FV(C27,"Máximo en 52 semanas",TRUE)</f>
        <v>72.89</v>
      </c>
      <c r="G27" s="4" cm="1">
        <f t="array" ref="G27">_FV(C27,"Mínimo en 52 semanas",TRUE)</f>
        <v>40.340000000000003</v>
      </c>
      <c r="H27" s="4" cm="1">
        <f t="array" ref="H27">_FV(C27,"Capitalización de mercado",TRUE)/1000000</f>
        <v>3523.169461</v>
      </c>
      <c r="I27" s="4">
        <f>+H27</f>
        <v>3523.169461</v>
      </c>
      <c r="J27" s="4"/>
      <c r="K27" s="9"/>
      <c r="L27" s="9"/>
      <c r="M27" s="9"/>
      <c r="N27" s="9"/>
      <c r="O27" s="10"/>
      <c r="P27" s="10"/>
      <c r="Q27" s="11"/>
      <c r="R27" s="11"/>
    </row>
    <row r="28" spans="3:18" ht="13.5" outlineLevel="1" thickBot="1" x14ac:dyDescent="0.25">
      <c r="C28" s="17" t="e" vm="22">
        <v>#VALUE!</v>
      </c>
      <c r="D28" s="4" cm="1">
        <f t="array" ref="D28">_FV(C28,"Precio")</f>
        <v>7.49</v>
      </c>
      <c r="E28" s="3" cm="1">
        <f t="array" ref="E28">_FV(C28,"Cambio (%)",TRUE)</f>
        <v>-1.9633999999999999E-2</v>
      </c>
      <c r="F28" s="4" cm="1">
        <f t="array" ref="F28">_FV(C28,"Máximo en 52 semanas",TRUE)</f>
        <v>8.99</v>
      </c>
      <c r="G28" s="4" cm="1">
        <f t="array" ref="G28">_FV(C28,"Mínimo en 52 semanas",TRUE)</f>
        <v>4.66</v>
      </c>
      <c r="H28" s="4" cm="1">
        <f t="array" ref="H28">_FV(C28,"Capitalización de mercado",TRUE)/1000000</f>
        <v>40652.99</v>
      </c>
      <c r="I28" s="4">
        <f>+H28*D35</f>
        <v>3838.0487858999995</v>
      </c>
      <c r="J28" s="4"/>
      <c r="K28" s="122">
        <f>Hafnia!F381</f>
        <v>0</v>
      </c>
      <c r="L28" s="9"/>
      <c r="M28" s="136">
        <f>Hafnia!F386</f>
        <v>0.94362177225101185</v>
      </c>
      <c r="N28" s="9"/>
      <c r="O28" s="136">
        <f>+I28/Hafnia!Y31</f>
        <v>4.0710368413486089</v>
      </c>
      <c r="P28" s="10"/>
      <c r="Q28" s="155">
        <f>-Hafnia!Y77/I28</f>
        <v>0.18292594099081025</v>
      </c>
      <c r="R28" s="11"/>
    </row>
    <row r="29" spans="3:18" x14ac:dyDescent="0.25">
      <c r="C29" s="45" t="s">
        <v>34</v>
      </c>
      <c r="D29" s="27"/>
      <c r="E29" s="27"/>
      <c r="F29" s="27"/>
      <c r="G29" s="27"/>
      <c r="H29" s="27"/>
      <c r="I29" s="27"/>
      <c r="J29" s="27"/>
      <c r="K29" s="27"/>
      <c r="L29" s="27"/>
      <c r="M29" s="27"/>
      <c r="N29" s="27"/>
      <c r="O29" s="27"/>
      <c r="P29" s="27"/>
      <c r="Q29" s="27"/>
      <c r="R29" s="27"/>
    </row>
    <row r="30" spans="3:18" hidden="1" outlineLevel="1" x14ac:dyDescent="0.25">
      <c r="C30" s="2" t="e" vm="23">
        <v>#VALUE!</v>
      </c>
      <c r="D30" s="4" cm="1">
        <f t="array" ref="D30">_FV(C30,"Precio")</f>
        <v>18.53</v>
      </c>
      <c r="E30" s="3" cm="1">
        <f t="array" ref="E30">_FV(C30,"Cambio (%)",TRUE)</f>
        <v>-1.2785999999999999E-2</v>
      </c>
      <c r="F30" s="4" cm="1">
        <f t="array" ref="F30">_FV(C30,"Máximo en 52 semanas",TRUE)</f>
        <v>23.82</v>
      </c>
      <c r="G30" s="4" cm="1">
        <f t="array" ref="G30">_FV(C30,"Mínimo en 52 semanas",TRUE)</f>
        <v>6.39</v>
      </c>
      <c r="H30" s="4" cm="1">
        <f t="array" ref="H30">_FV(C30,"Capitalización de mercado",TRUE)/1000000</f>
        <v>2229.5439999999999</v>
      </c>
      <c r="I30" s="4">
        <f>+H30</f>
        <v>2229.5439999999999</v>
      </c>
      <c r="J30" s="4"/>
      <c r="K30" s="9"/>
      <c r="L30" s="9"/>
      <c r="M30" s="9"/>
      <c r="N30" s="9"/>
      <c r="O30" s="6"/>
      <c r="P30" s="6"/>
      <c r="Q30" s="6"/>
      <c r="R30" s="6"/>
    </row>
    <row r="31" spans="3:18" hidden="1" outlineLevel="1" x14ac:dyDescent="0.25">
      <c r="C31" s="2" t="e" vm="24">
        <v>#VALUE!</v>
      </c>
      <c r="D31" s="4" cm="1">
        <f t="array" ref="D31">_FV(C31,"Precio")</f>
        <v>90.26</v>
      </c>
      <c r="E31" s="3" cm="1">
        <f t="array" ref="E31">_FV(C31,"Cambio (%)",TRUE)</f>
        <v>-2.2736999999999997E-2</v>
      </c>
      <c r="F31" s="4" cm="1">
        <f t="array" ref="F31">_FV(C31,"Máximo en 52 semanas",TRUE)</f>
        <v>98.25</v>
      </c>
      <c r="G31" s="4" cm="1">
        <f t="array" ref="G31">_FV(C31,"Mínimo en 52 semanas",TRUE)</f>
        <v>62.37</v>
      </c>
      <c r="H31" s="4" cm="1">
        <f t="array" ref="H31">_FV(C31,"Capitalización de mercado",TRUE)/1000000</f>
        <v>1747.5060000000001</v>
      </c>
      <c r="I31" s="4">
        <f>+H31</f>
        <v>1747.5060000000001</v>
      </c>
      <c r="J31" s="4"/>
      <c r="K31" s="9"/>
      <c r="L31" s="9"/>
      <c r="M31" s="9"/>
      <c r="N31" s="9"/>
      <c r="O31" s="12"/>
      <c r="P31" s="12"/>
      <c r="Q31" s="12"/>
      <c r="R31" s="12"/>
    </row>
    <row r="32" spans="3:18" hidden="1" outlineLevel="1" x14ac:dyDescent="0.25">
      <c r="C32" s="2" t="e" vm="25">
        <v>#VALUE!</v>
      </c>
      <c r="D32" s="4" cm="1">
        <f t="array" ref="D32">_FV(C32,"Precio")</f>
        <v>20.34</v>
      </c>
      <c r="E32" s="3" cm="1">
        <f t="array" ref="E32">_FV(C32,"Cambio (%)",TRUE)</f>
        <v>-6.3509999999999999E-3</v>
      </c>
      <c r="F32" s="4" cm="1">
        <f t="array" ref="F32">_FV(C32,"Máximo en 52 semanas",TRUE)</f>
        <v>21.939499999999999</v>
      </c>
      <c r="G32" s="4" cm="1">
        <f t="array" ref="G32">_FV(C32,"Mínimo en 52 semanas",TRUE)</f>
        <v>16.8</v>
      </c>
      <c r="H32" s="4" cm="1">
        <f t="array" ref="H32">_FV(C32,"Capitalización de mercado",TRUE)/1000000</f>
        <v>715.80588999999998</v>
      </c>
      <c r="I32" s="4">
        <f>+H32</f>
        <v>715.80588999999998</v>
      </c>
      <c r="J32" s="4"/>
      <c r="K32" s="9"/>
      <c r="L32" s="9"/>
      <c r="M32" s="9"/>
      <c r="N32" s="9"/>
      <c r="O32" s="12"/>
      <c r="P32" s="10"/>
      <c r="Q32" s="12"/>
      <c r="R32" s="12"/>
    </row>
    <row r="33" spans="3:18" hidden="1" outlineLevel="1" x14ac:dyDescent="0.25">
      <c r="D33" s="4"/>
      <c r="E33" s="3"/>
      <c r="F33" s="4"/>
      <c r="G33" s="4"/>
      <c r="H33" s="4"/>
      <c r="I33" s="4"/>
      <c r="J33" s="4"/>
      <c r="K33" s="9"/>
      <c r="L33" s="9"/>
      <c r="M33" s="9"/>
      <c r="N33" s="9"/>
      <c r="O33" s="12"/>
      <c r="P33" s="10"/>
      <c r="Q33" s="12"/>
      <c r="R33" s="12"/>
    </row>
    <row r="34" spans="3:18" ht="13.5" collapsed="1" thickBot="1" x14ac:dyDescent="0.3">
      <c r="C34" s="46" t="s">
        <v>171</v>
      </c>
      <c r="D34" s="47" t="s">
        <v>28</v>
      </c>
      <c r="E34" s="3"/>
      <c r="F34" s="4"/>
      <c r="G34" s="4"/>
      <c r="H34" s="4"/>
      <c r="I34" s="4"/>
      <c r="J34" s="4"/>
      <c r="K34" s="9"/>
      <c r="L34" s="9"/>
      <c r="M34" s="9"/>
      <c r="N34" s="9"/>
      <c r="O34" s="12"/>
      <c r="P34" s="10"/>
      <c r="Q34" s="12"/>
      <c r="R34" s="12"/>
    </row>
    <row r="35" spans="3:18" x14ac:dyDescent="0.25">
      <c r="C35" s="2" t="e" vm="26">
        <v>#VALUE!</v>
      </c>
      <c r="D35" s="4" cm="1">
        <f t="array" ref="D35">_FV(C35,"Precio")</f>
        <v>9.4409999999999994E-2</v>
      </c>
      <c r="E35" s="3"/>
      <c r="F35" s="4"/>
      <c r="G35" s="4"/>
      <c r="H35" s="4"/>
      <c r="I35" s="4"/>
      <c r="J35" s="4"/>
      <c r="K35" s="9"/>
      <c r="L35" s="9"/>
      <c r="M35" s="9"/>
      <c r="N35" s="9"/>
      <c r="O35" s="12"/>
      <c r="P35" s="10"/>
      <c r="Q35" s="12"/>
      <c r="R35" s="12"/>
    </row>
    <row r="36" spans="3:18" x14ac:dyDescent="0.25">
      <c r="C36" s="2" t="e" vm="27">
        <v>#VALUE!</v>
      </c>
      <c r="D36" s="4" cm="1">
        <f t="array" ref="D36">_FV(C36,"Price")</f>
        <v>1.0782</v>
      </c>
      <c r="E36" s="3"/>
      <c r="F36" s="4"/>
      <c r="G36" s="4"/>
      <c r="H36" s="4"/>
      <c r="I36" s="4"/>
      <c r="J36" s="4"/>
      <c r="K36" s="9"/>
      <c r="L36" s="9"/>
      <c r="M36" s="9"/>
      <c r="N36" s="9"/>
      <c r="O36" s="12"/>
      <c r="P36" s="10"/>
      <c r="Q36" s="12"/>
      <c r="R36" s="12"/>
    </row>
    <row r="37" spans="3:18" x14ac:dyDescent="0.25">
      <c r="D37" s="4"/>
      <c r="E37" s="3"/>
      <c r="F37" s="4"/>
      <c r="G37" s="4"/>
      <c r="H37" s="4"/>
      <c r="I37" s="4"/>
      <c r="J37" s="4"/>
      <c r="K37" s="9"/>
      <c r="L37" s="9"/>
      <c r="M37" s="9"/>
      <c r="N37" s="9"/>
      <c r="O37" s="12"/>
      <c r="P37" s="10"/>
      <c r="Q37" s="12"/>
      <c r="R37" s="12"/>
    </row>
    <row r="38" spans="3:18" x14ac:dyDescent="0.2">
      <c r="C38" s="17"/>
      <c r="D38" s="4"/>
      <c r="E38" s="3"/>
      <c r="F38" s="4"/>
      <c r="G38" s="4"/>
      <c r="H38" s="4"/>
      <c r="I38" s="4"/>
      <c r="J38" s="4"/>
      <c r="K38" s="9"/>
      <c r="L38" s="9"/>
      <c r="M38" s="9"/>
      <c r="N38" s="9"/>
      <c r="O38" s="12"/>
      <c r="P38" s="10"/>
      <c r="Q38" s="12"/>
      <c r="R38" s="12"/>
    </row>
    <row r="39" spans="3:18" x14ac:dyDescent="0.25"/>
    <row r="41" spans="3:18" hidden="1" x14ac:dyDescent="0.25">
      <c r="D41" s="3"/>
    </row>
    <row r="42" spans="3:18" x14ac:dyDescent="0.25"/>
  </sheetData>
  <pageMargins left="0.7" right="0.7" top="0.75" bottom="0.75" header="0.3" footer="0.3"/>
  <pageSetup paperSize="9" scale="3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FFC47-6AA2-4895-ACC6-93B005535019}">
  <dimension ref="A1:W45"/>
  <sheetViews>
    <sheetView showGridLines="0" zoomScale="130" zoomScaleNormal="130" zoomScaleSheetLayoutView="110" workbookViewId="0">
      <selection activeCell="H34" sqref="H34"/>
    </sheetView>
  </sheetViews>
  <sheetFormatPr defaultColWidth="0" defaultRowHeight="12.75" zeroHeight="1" outlineLevelRow="1" outlineLevelCol="1" x14ac:dyDescent="0.25"/>
  <cols>
    <col min="1" max="2" width="2.7109375" style="1" customWidth="1"/>
    <col min="3" max="4" width="10.7109375" style="2" customWidth="1"/>
    <col min="5" max="9" width="10.7109375" style="1" customWidth="1"/>
    <col min="10" max="13" width="10.7109375" style="1" hidden="1" customWidth="1" outlineLevel="1"/>
    <col min="14" max="14" width="10.7109375" style="1" customWidth="1" collapsed="1"/>
    <col min="15" max="18" width="10.7109375" style="1" hidden="1" customWidth="1" outlineLevel="1"/>
    <col min="19" max="19" width="10.7109375" style="1" customWidth="1" collapsed="1"/>
    <col min="20" max="20" width="21.140625" style="1" bestFit="1" customWidth="1"/>
    <col min="21" max="22" width="1.5703125" style="1" customWidth="1"/>
    <col min="23" max="23" width="0" style="1" hidden="1" customWidth="1"/>
    <col min="24" max="16384" width="9.140625" style="1" hidden="1"/>
  </cols>
  <sheetData>
    <row r="1" spans="3:21" ht="9.9499999999999993" customHeight="1" x14ac:dyDescent="0.25"/>
    <row r="2" spans="3:21" ht="9.9499999999999993" customHeight="1" x14ac:dyDescent="0.25"/>
    <row r="3" spans="3:21" ht="13.5" hidden="1" outlineLevel="1" thickBot="1" x14ac:dyDescent="0.3">
      <c r="C3" s="43" t="s">
        <v>358</v>
      </c>
      <c r="D3" s="65">
        <v>45327</v>
      </c>
      <c r="E3" s="43"/>
      <c r="F3" s="43"/>
      <c r="G3" s="43"/>
      <c r="H3" s="43"/>
      <c r="I3" s="43"/>
      <c r="J3" s="43"/>
      <c r="K3" s="43"/>
      <c r="L3" s="43"/>
      <c r="M3" s="43"/>
      <c r="N3" s="43"/>
      <c r="O3" s="43"/>
      <c r="P3" s="43"/>
      <c r="Q3" s="43"/>
      <c r="R3" s="43"/>
      <c r="S3" s="43"/>
      <c r="T3" s="43"/>
      <c r="U3" s="43"/>
    </row>
    <row r="4" spans="3:21" hidden="1" outlineLevel="1" x14ac:dyDescent="0.25">
      <c r="C4" s="45" t="s">
        <v>3</v>
      </c>
      <c r="D4" s="45" t="s">
        <v>2</v>
      </c>
      <c r="E4" s="64" t="s">
        <v>49</v>
      </c>
      <c r="F4" s="64" t="s">
        <v>50</v>
      </c>
      <c r="G4" s="64" t="s">
        <v>51</v>
      </c>
      <c r="H4" s="64" t="s">
        <v>52</v>
      </c>
      <c r="I4" s="64" t="s">
        <v>361</v>
      </c>
      <c r="J4" s="64" t="s">
        <v>53</v>
      </c>
      <c r="K4" s="64" t="s">
        <v>54</v>
      </c>
      <c r="L4" s="64" t="s">
        <v>55</v>
      </c>
      <c r="M4" s="64" t="s">
        <v>56</v>
      </c>
      <c r="N4" s="64" t="s">
        <v>359</v>
      </c>
      <c r="O4" s="64" t="s">
        <v>57</v>
      </c>
      <c r="P4" s="64" t="s">
        <v>58</v>
      </c>
      <c r="Q4" s="64" t="s">
        <v>59</v>
      </c>
      <c r="R4" s="64" t="s">
        <v>60</v>
      </c>
      <c r="S4" s="64" t="s">
        <v>360</v>
      </c>
      <c r="T4" s="45" t="s">
        <v>64</v>
      </c>
    </row>
    <row r="5" spans="3:21" hidden="1" outlineLevel="1" x14ac:dyDescent="0.25">
      <c r="C5" s="14" t="s">
        <v>1</v>
      </c>
      <c r="D5" s="2" t="s">
        <v>4</v>
      </c>
      <c r="E5" s="1">
        <f t="shared" ref="E5:S5" si="0">+E6*1.2</f>
        <v>29400</v>
      </c>
      <c r="F5" s="1">
        <f t="shared" si="0"/>
        <v>17922</v>
      </c>
      <c r="G5" s="1">
        <f t="shared" si="0"/>
        <v>22635.599999999999</v>
      </c>
      <c r="H5" s="1">
        <f t="shared" si="0"/>
        <v>24632.399999999998</v>
      </c>
      <c r="I5" s="1">
        <f t="shared" si="0"/>
        <v>23647.5</v>
      </c>
      <c r="J5" s="1">
        <f t="shared" si="0"/>
        <v>15759.599999999999</v>
      </c>
      <c r="K5" s="1">
        <f t="shared" si="0"/>
        <v>23163.599999999999</v>
      </c>
      <c r="L5" s="1">
        <f t="shared" si="0"/>
        <v>31491.599999999999</v>
      </c>
      <c r="M5" s="1">
        <f t="shared" si="0"/>
        <v>29818.799999999999</v>
      </c>
      <c r="N5" s="1">
        <f t="shared" si="0"/>
        <v>25058.399999999998</v>
      </c>
      <c r="O5" s="1">
        <f t="shared" si="0"/>
        <v>18528</v>
      </c>
      <c r="P5" s="1">
        <f t="shared" si="0"/>
        <v>27667.200000000001</v>
      </c>
      <c r="Q5" s="1">
        <f t="shared" si="0"/>
        <v>35499.599999999999</v>
      </c>
      <c r="R5" s="1">
        <f t="shared" si="0"/>
        <v>31089.599999999999</v>
      </c>
      <c r="S5" s="1">
        <f t="shared" si="0"/>
        <v>28196.1</v>
      </c>
      <c r="T5" s="2" t="s">
        <v>62</v>
      </c>
    </row>
    <row r="6" spans="3:21" hidden="1" outlineLevel="1" x14ac:dyDescent="0.25">
      <c r="C6" s="14" t="s">
        <v>1</v>
      </c>
      <c r="D6" s="2" t="s">
        <v>5</v>
      </c>
      <c r="E6" s="13">
        <v>24500</v>
      </c>
      <c r="F6" s="13">
        <v>14935</v>
      </c>
      <c r="G6" s="13">
        <v>18863</v>
      </c>
      <c r="H6" s="13">
        <v>20527</v>
      </c>
      <c r="I6" s="5">
        <f>AVERAGE(E6:H6)</f>
        <v>19706.25</v>
      </c>
      <c r="J6" s="13">
        <v>13133</v>
      </c>
      <c r="K6" s="13">
        <v>19303</v>
      </c>
      <c r="L6" s="13">
        <v>26243</v>
      </c>
      <c r="M6" s="13">
        <v>24849</v>
      </c>
      <c r="N6" s="5">
        <f>AVERAGE(J6:M6)</f>
        <v>20882</v>
      </c>
      <c r="O6" s="13">
        <v>15440</v>
      </c>
      <c r="P6" s="13">
        <v>23056</v>
      </c>
      <c r="Q6" s="13">
        <v>29583</v>
      </c>
      <c r="R6" s="13">
        <v>25908</v>
      </c>
      <c r="S6" s="5">
        <f>AVERAGE(O6:R6)</f>
        <v>23496.75</v>
      </c>
      <c r="T6" s="2" t="s">
        <v>65</v>
      </c>
    </row>
    <row r="7" spans="3:21" hidden="1" outlineLevel="1" x14ac:dyDescent="0.25">
      <c r="C7" s="14" t="s">
        <v>1</v>
      </c>
      <c r="D7" s="2" t="s">
        <v>6</v>
      </c>
      <c r="E7" s="1">
        <f t="shared" ref="E7:S7" si="1">+E6*0.8</f>
        <v>19600</v>
      </c>
      <c r="F7" s="1">
        <f t="shared" si="1"/>
        <v>11948</v>
      </c>
      <c r="G7" s="1">
        <f t="shared" si="1"/>
        <v>15090.400000000001</v>
      </c>
      <c r="H7" s="1">
        <f t="shared" si="1"/>
        <v>16421.600000000002</v>
      </c>
      <c r="I7" s="1">
        <f t="shared" si="1"/>
        <v>15765</v>
      </c>
      <c r="J7" s="1">
        <f t="shared" si="1"/>
        <v>10506.400000000001</v>
      </c>
      <c r="K7" s="1">
        <f t="shared" si="1"/>
        <v>15442.400000000001</v>
      </c>
      <c r="L7" s="1">
        <f t="shared" si="1"/>
        <v>20994.400000000001</v>
      </c>
      <c r="M7" s="1">
        <f t="shared" si="1"/>
        <v>19879.2</v>
      </c>
      <c r="N7" s="1">
        <f t="shared" si="1"/>
        <v>16705.600000000002</v>
      </c>
      <c r="O7" s="1">
        <f t="shared" si="1"/>
        <v>12352</v>
      </c>
      <c r="P7" s="1">
        <f t="shared" si="1"/>
        <v>18444.8</v>
      </c>
      <c r="Q7" s="1">
        <f t="shared" si="1"/>
        <v>23666.400000000001</v>
      </c>
      <c r="R7" s="1">
        <f t="shared" si="1"/>
        <v>20726.400000000001</v>
      </c>
      <c r="S7" s="1">
        <f t="shared" si="1"/>
        <v>18797.400000000001</v>
      </c>
      <c r="T7" s="2" t="s">
        <v>63</v>
      </c>
    </row>
    <row r="8" spans="3:21" hidden="1" outlineLevel="1" x14ac:dyDescent="0.25">
      <c r="C8" s="14" t="s">
        <v>7</v>
      </c>
      <c r="D8" s="2" t="s">
        <v>4</v>
      </c>
      <c r="E8" s="1">
        <f t="shared" ref="E8:S8" si="2">+E9*1.2</f>
        <v>13456.8</v>
      </c>
      <c r="F8" s="1">
        <f t="shared" si="2"/>
        <v>15452.4</v>
      </c>
      <c r="G8" s="1">
        <f t="shared" si="2"/>
        <v>18559.2</v>
      </c>
      <c r="H8" s="1">
        <f t="shared" si="2"/>
        <v>19875.599999999999</v>
      </c>
      <c r="I8" s="1">
        <f t="shared" si="2"/>
        <v>16836</v>
      </c>
      <c r="J8" s="1">
        <f t="shared" si="2"/>
        <v>14028</v>
      </c>
      <c r="K8" s="1">
        <f t="shared" si="2"/>
        <v>18907.2</v>
      </c>
      <c r="L8" s="1">
        <f t="shared" si="2"/>
        <v>24394.799999999999</v>
      </c>
      <c r="M8" s="1">
        <f t="shared" si="2"/>
        <v>23293.200000000001</v>
      </c>
      <c r="N8" s="1">
        <f t="shared" si="2"/>
        <v>20155.8</v>
      </c>
      <c r="O8" s="1">
        <f t="shared" si="2"/>
        <v>15852</v>
      </c>
      <c r="P8" s="1">
        <f t="shared" si="2"/>
        <v>21874.799999999999</v>
      </c>
      <c r="Q8" s="1">
        <f t="shared" si="2"/>
        <v>27036</v>
      </c>
      <c r="R8" s="1">
        <f t="shared" si="2"/>
        <v>24130.799999999999</v>
      </c>
      <c r="S8" s="1">
        <f t="shared" si="2"/>
        <v>22223.399999999998</v>
      </c>
      <c r="T8" s="2" t="s">
        <v>62</v>
      </c>
    </row>
    <row r="9" spans="3:21" hidden="1" outlineLevel="1" x14ac:dyDescent="0.25">
      <c r="C9" s="14" t="s">
        <v>7</v>
      </c>
      <c r="D9" s="2" t="s">
        <v>5</v>
      </c>
      <c r="E9" s="13">
        <v>11214</v>
      </c>
      <c r="F9" s="13">
        <v>12877</v>
      </c>
      <c r="G9" s="13">
        <v>15466</v>
      </c>
      <c r="H9" s="13">
        <v>16563</v>
      </c>
      <c r="I9" s="5">
        <f>AVERAGE(E9:H9)</f>
        <v>14030</v>
      </c>
      <c r="J9" s="13">
        <v>11690</v>
      </c>
      <c r="K9" s="13">
        <v>15756</v>
      </c>
      <c r="L9" s="13">
        <v>20329</v>
      </c>
      <c r="M9" s="13">
        <v>19411</v>
      </c>
      <c r="N9" s="5">
        <f>AVERAGE(J9:M9)</f>
        <v>16796.5</v>
      </c>
      <c r="O9" s="13">
        <v>13210</v>
      </c>
      <c r="P9" s="13">
        <v>18229</v>
      </c>
      <c r="Q9" s="13">
        <v>22530</v>
      </c>
      <c r="R9" s="13">
        <v>20109</v>
      </c>
      <c r="S9" s="5">
        <f>AVERAGE(O9:R9)</f>
        <v>18519.5</v>
      </c>
      <c r="T9" s="2" t="s">
        <v>65</v>
      </c>
    </row>
    <row r="10" spans="3:21" hidden="1" outlineLevel="1" x14ac:dyDescent="0.25">
      <c r="C10" s="14" t="s">
        <v>7</v>
      </c>
      <c r="D10" s="2" t="s">
        <v>6</v>
      </c>
      <c r="E10" s="1">
        <f t="shared" ref="E10:S10" si="3">+E9*0.8</f>
        <v>8971.2000000000007</v>
      </c>
      <c r="F10" s="1">
        <f t="shared" si="3"/>
        <v>10301.6</v>
      </c>
      <c r="G10" s="1">
        <f t="shared" si="3"/>
        <v>12372.800000000001</v>
      </c>
      <c r="H10" s="1">
        <f t="shared" si="3"/>
        <v>13250.400000000001</v>
      </c>
      <c r="I10" s="1">
        <f t="shared" si="3"/>
        <v>11224</v>
      </c>
      <c r="J10" s="1">
        <f t="shared" si="3"/>
        <v>9352</v>
      </c>
      <c r="K10" s="1">
        <f t="shared" si="3"/>
        <v>12604.800000000001</v>
      </c>
      <c r="L10" s="1">
        <f t="shared" si="3"/>
        <v>16263.2</v>
      </c>
      <c r="M10" s="1">
        <f t="shared" si="3"/>
        <v>15528.800000000001</v>
      </c>
      <c r="N10" s="1">
        <f t="shared" si="3"/>
        <v>13437.2</v>
      </c>
      <c r="O10" s="1">
        <f t="shared" si="3"/>
        <v>10568</v>
      </c>
      <c r="P10" s="1">
        <f t="shared" si="3"/>
        <v>14583.2</v>
      </c>
      <c r="Q10" s="1">
        <f t="shared" si="3"/>
        <v>18024</v>
      </c>
      <c r="R10" s="1">
        <f t="shared" si="3"/>
        <v>16087.2</v>
      </c>
      <c r="S10" s="1">
        <f t="shared" si="3"/>
        <v>14815.6</v>
      </c>
      <c r="T10" s="2" t="s">
        <v>63</v>
      </c>
    </row>
    <row r="11" spans="3:21" hidden="1" outlineLevel="1" x14ac:dyDescent="0.25">
      <c r="C11" s="14" t="s">
        <v>9</v>
      </c>
      <c r="D11" s="2" t="s">
        <v>4</v>
      </c>
      <c r="E11" s="1">
        <f t="shared" ref="E11:S11" si="4">+E12*1.2</f>
        <v>16100.46</v>
      </c>
      <c r="F11" s="1">
        <f t="shared" si="4"/>
        <v>15923.819999999998</v>
      </c>
      <c r="G11" s="1">
        <f t="shared" si="4"/>
        <v>19825.079999999998</v>
      </c>
      <c r="H11" s="1">
        <f t="shared" si="4"/>
        <v>21478.319999999996</v>
      </c>
      <c r="I11" s="1">
        <f t="shared" si="4"/>
        <v>18331.919999999998</v>
      </c>
      <c r="J11" s="1">
        <f t="shared" si="4"/>
        <v>14133.96</v>
      </c>
      <c r="K11" s="1">
        <f t="shared" si="4"/>
        <v>21275.46</v>
      </c>
      <c r="L11" s="1">
        <f t="shared" si="4"/>
        <v>28513.559999999998</v>
      </c>
      <c r="M11" s="1">
        <f t="shared" si="4"/>
        <v>27060.42</v>
      </c>
      <c r="N11" s="1">
        <f t="shared" si="4"/>
        <v>22745.85</v>
      </c>
      <c r="O11" s="1">
        <f t="shared" si="4"/>
        <v>16426.14</v>
      </c>
      <c r="P11" s="1">
        <f t="shared" si="4"/>
        <v>23989.919999999998</v>
      </c>
      <c r="Q11" s="1">
        <f t="shared" si="4"/>
        <v>30473.159999999996</v>
      </c>
      <c r="R11" s="1">
        <f t="shared" si="4"/>
        <v>26823.059999999998</v>
      </c>
      <c r="S11" s="1">
        <f t="shared" si="4"/>
        <v>24428.069999999996</v>
      </c>
      <c r="T11" s="2" t="s">
        <v>62</v>
      </c>
    </row>
    <row r="12" spans="3:21" hidden="1" outlineLevel="1" x14ac:dyDescent="0.25">
      <c r="C12" s="14" t="s">
        <v>9</v>
      </c>
      <c r="D12" s="2" t="s">
        <v>5</v>
      </c>
      <c r="E12" s="1">
        <f t="shared" ref="E12:S12" si="5">+E15*1.15</f>
        <v>13417.05</v>
      </c>
      <c r="F12" s="1">
        <f t="shared" si="5"/>
        <v>13269.849999999999</v>
      </c>
      <c r="G12" s="1">
        <f t="shared" si="5"/>
        <v>16520.899999999998</v>
      </c>
      <c r="H12" s="1">
        <f t="shared" si="5"/>
        <v>17898.599999999999</v>
      </c>
      <c r="I12" s="1">
        <f t="shared" si="5"/>
        <v>15276.599999999999</v>
      </c>
      <c r="J12" s="1">
        <f t="shared" si="5"/>
        <v>11778.3</v>
      </c>
      <c r="K12" s="1">
        <f t="shared" si="5"/>
        <v>17729.55</v>
      </c>
      <c r="L12" s="1">
        <f t="shared" si="5"/>
        <v>23761.3</v>
      </c>
      <c r="M12" s="1">
        <f t="shared" si="5"/>
        <v>22550.35</v>
      </c>
      <c r="N12" s="1">
        <f t="shared" si="5"/>
        <v>18954.875</v>
      </c>
      <c r="O12" s="1">
        <f t="shared" si="5"/>
        <v>13688.449999999999</v>
      </c>
      <c r="P12" s="1">
        <f t="shared" si="5"/>
        <v>19991.599999999999</v>
      </c>
      <c r="Q12" s="1">
        <f t="shared" si="5"/>
        <v>25394.3</v>
      </c>
      <c r="R12" s="1">
        <f t="shared" si="5"/>
        <v>22352.55</v>
      </c>
      <c r="S12" s="1">
        <f t="shared" si="5"/>
        <v>20356.724999999999</v>
      </c>
      <c r="T12" s="2" t="s">
        <v>61</v>
      </c>
    </row>
    <row r="13" spans="3:21" hidden="1" outlineLevel="1" x14ac:dyDescent="0.25">
      <c r="C13" s="14" t="s">
        <v>9</v>
      </c>
      <c r="D13" s="2" t="s">
        <v>6</v>
      </c>
      <c r="E13" s="1">
        <f t="shared" ref="E13:S13" si="6">+E12*0.8</f>
        <v>10733.64</v>
      </c>
      <c r="F13" s="1">
        <f t="shared" si="6"/>
        <v>10615.88</v>
      </c>
      <c r="G13" s="1">
        <f t="shared" si="6"/>
        <v>13216.72</v>
      </c>
      <c r="H13" s="1">
        <f t="shared" si="6"/>
        <v>14318.88</v>
      </c>
      <c r="I13" s="1">
        <f t="shared" si="6"/>
        <v>12221.279999999999</v>
      </c>
      <c r="J13" s="1">
        <f t="shared" si="6"/>
        <v>9422.64</v>
      </c>
      <c r="K13" s="1">
        <f t="shared" si="6"/>
        <v>14183.64</v>
      </c>
      <c r="L13" s="1">
        <f t="shared" si="6"/>
        <v>19009.04</v>
      </c>
      <c r="M13" s="1">
        <f t="shared" si="6"/>
        <v>18040.28</v>
      </c>
      <c r="N13" s="1">
        <f t="shared" si="6"/>
        <v>15163.900000000001</v>
      </c>
      <c r="O13" s="1">
        <f t="shared" si="6"/>
        <v>10950.76</v>
      </c>
      <c r="P13" s="1">
        <f t="shared" si="6"/>
        <v>15993.279999999999</v>
      </c>
      <c r="Q13" s="1">
        <f t="shared" si="6"/>
        <v>20315.440000000002</v>
      </c>
      <c r="R13" s="1">
        <f t="shared" si="6"/>
        <v>17882.04</v>
      </c>
      <c r="S13" s="1">
        <f t="shared" si="6"/>
        <v>16285.38</v>
      </c>
      <c r="T13" s="2" t="s">
        <v>63</v>
      </c>
    </row>
    <row r="14" spans="3:21" hidden="1" outlineLevel="1" x14ac:dyDescent="0.25">
      <c r="C14" s="14" t="s">
        <v>8</v>
      </c>
      <c r="D14" s="2" t="s">
        <v>4</v>
      </c>
      <c r="E14" s="1">
        <f t="shared" ref="E14:S14" si="7">+E15*1.2</f>
        <v>14000.4</v>
      </c>
      <c r="F14" s="1">
        <f t="shared" si="7"/>
        <v>13846.8</v>
      </c>
      <c r="G14" s="1">
        <f t="shared" si="7"/>
        <v>17239.2</v>
      </c>
      <c r="H14" s="1">
        <f t="shared" si="7"/>
        <v>18676.8</v>
      </c>
      <c r="I14" s="1">
        <f t="shared" si="7"/>
        <v>15940.8</v>
      </c>
      <c r="J14" s="1">
        <f t="shared" si="7"/>
        <v>12290.4</v>
      </c>
      <c r="K14" s="1">
        <f t="shared" si="7"/>
        <v>18500.399999999998</v>
      </c>
      <c r="L14" s="1">
        <f t="shared" si="7"/>
        <v>24794.399999999998</v>
      </c>
      <c r="M14" s="1">
        <f t="shared" si="7"/>
        <v>23530.799999999999</v>
      </c>
      <c r="N14" s="1">
        <f t="shared" si="7"/>
        <v>19779</v>
      </c>
      <c r="O14" s="1">
        <f t="shared" si="7"/>
        <v>14283.6</v>
      </c>
      <c r="P14" s="1">
        <f t="shared" si="7"/>
        <v>20860.8</v>
      </c>
      <c r="Q14" s="1">
        <f t="shared" si="7"/>
        <v>26498.399999999998</v>
      </c>
      <c r="R14" s="1">
        <f t="shared" si="7"/>
        <v>23324.399999999998</v>
      </c>
      <c r="S14" s="1">
        <f t="shared" si="7"/>
        <v>21241.8</v>
      </c>
      <c r="T14" s="2" t="s">
        <v>62</v>
      </c>
    </row>
    <row r="15" spans="3:21" hidden="1" outlineLevel="1" x14ac:dyDescent="0.25">
      <c r="C15" s="14" t="s">
        <v>8</v>
      </c>
      <c r="D15" s="2" t="s">
        <v>5</v>
      </c>
      <c r="E15" s="13">
        <v>11667</v>
      </c>
      <c r="F15" s="13">
        <v>11539</v>
      </c>
      <c r="G15" s="13">
        <v>14366</v>
      </c>
      <c r="H15" s="13">
        <v>15564</v>
      </c>
      <c r="I15" s="5">
        <f>AVERAGE(E15:H15)</f>
        <v>13284</v>
      </c>
      <c r="J15" s="13">
        <v>10242</v>
      </c>
      <c r="K15" s="13">
        <v>15417</v>
      </c>
      <c r="L15" s="13">
        <v>20662</v>
      </c>
      <c r="M15" s="13">
        <v>19609</v>
      </c>
      <c r="N15" s="5">
        <f>AVERAGE(J15:M15)</f>
        <v>16482.5</v>
      </c>
      <c r="O15" s="13">
        <v>11903</v>
      </c>
      <c r="P15" s="13">
        <v>17384</v>
      </c>
      <c r="Q15" s="13">
        <v>22082</v>
      </c>
      <c r="R15" s="13">
        <v>19437</v>
      </c>
      <c r="S15" s="5">
        <f>AVERAGE(O15:R15)</f>
        <v>17701.5</v>
      </c>
      <c r="T15" s="2" t="s">
        <v>65</v>
      </c>
    </row>
    <row r="16" spans="3:21" hidden="1" outlineLevel="1" x14ac:dyDescent="0.25">
      <c r="C16" s="14" t="s">
        <v>8</v>
      </c>
      <c r="D16" s="2" t="s">
        <v>6</v>
      </c>
      <c r="E16" s="1">
        <f t="shared" ref="E16:S16" si="8">+E15*0.8</f>
        <v>9333.6</v>
      </c>
      <c r="F16" s="1">
        <f t="shared" si="8"/>
        <v>9231.2000000000007</v>
      </c>
      <c r="G16" s="1">
        <f t="shared" si="8"/>
        <v>11492.800000000001</v>
      </c>
      <c r="H16" s="1">
        <f t="shared" si="8"/>
        <v>12451.2</v>
      </c>
      <c r="I16" s="1">
        <f t="shared" si="8"/>
        <v>10627.2</v>
      </c>
      <c r="J16" s="1">
        <f t="shared" si="8"/>
        <v>8193.6</v>
      </c>
      <c r="K16" s="1">
        <f t="shared" si="8"/>
        <v>12333.6</v>
      </c>
      <c r="L16" s="1">
        <f t="shared" si="8"/>
        <v>16529.600000000002</v>
      </c>
      <c r="M16" s="1">
        <f t="shared" si="8"/>
        <v>15687.2</v>
      </c>
      <c r="N16" s="1">
        <f t="shared" si="8"/>
        <v>13186</v>
      </c>
      <c r="O16" s="1">
        <f t="shared" si="8"/>
        <v>9522.4</v>
      </c>
      <c r="P16" s="1">
        <f t="shared" si="8"/>
        <v>13907.2</v>
      </c>
      <c r="Q16" s="1">
        <f t="shared" si="8"/>
        <v>17665.600000000002</v>
      </c>
      <c r="R16" s="1">
        <f t="shared" si="8"/>
        <v>15549.6</v>
      </c>
      <c r="S16" s="1">
        <f t="shared" si="8"/>
        <v>14161.2</v>
      </c>
      <c r="T16" s="2" t="s">
        <v>63</v>
      </c>
    </row>
    <row r="17" spans="3:20" hidden="1" outlineLevel="1" x14ac:dyDescent="0.25">
      <c r="C17" s="14" t="s">
        <v>39</v>
      </c>
      <c r="D17" s="2" t="s">
        <v>4</v>
      </c>
      <c r="E17" s="1">
        <f t="shared" ref="E17:S17" si="9">+E18*1.2</f>
        <v>11118</v>
      </c>
      <c r="F17" s="1">
        <f t="shared" si="9"/>
        <v>12136.8</v>
      </c>
      <c r="G17" s="1">
        <f t="shared" si="9"/>
        <v>13723.199999999999</v>
      </c>
      <c r="H17" s="1">
        <f t="shared" si="9"/>
        <v>14395.199999999999</v>
      </c>
      <c r="I17" s="1">
        <f t="shared" si="9"/>
        <v>12843.3</v>
      </c>
      <c r="J17" s="1">
        <f t="shared" si="9"/>
        <v>11409.6</v>
      </c>
      <c r="K17" s="1">
        <f t="shared" si="9"/>
        <v>14595.6</v>
      </c>
      <c r="L17" s="1">
        <f t="shared" si="9"/>
        <v>17538</v>
      </c>
      <c r="M17" s="1">
        <f t="shared" si="9"/>
        <v>16947.599999999999</v>
      </c>
      <c r="N17" s="1">
        <f t="shared" si="9"/>
        <v>15122.699999999999</v>
      </c>
      <c r="O17" s="1">
        <f t="shared" si="9"/>
        <v>12340.8</v>
      </c>
      <c r="P17" s="1">
        <f t="shared" si="9"/>
        <v>15416.4</v>
      </c>
      <c r="Q17" s="1">
        <f t="shared" si="9"/>
        <v>18051.599999999999</v>
      </c>
      <c r="R17" s="1">
        <f t="shared" si="9"/>
        <v>16568.399999999998</v>
      </c>
      <c r="S17" s="1">
        <f t="shared" si="9"/>
        <v>15594.3</v>
      </c>
      <c r="T17" s="2" t="s">
        <v>62</v>
      </c>
    </row>
    <row r="18" spans="3:20" hidden="1" outlineLevel="1" x14ac:dyDescent="0.25">
      <c r="C18" s="14" t="s">
        <v>39</v>
      </c>
      <c r="D18" s="2" t="s">
        <v>5</v>
      </c>
      <c r="E18" s="13">
        <v>9265</v>
      </c>
      <c r="F18" s="13">
        <v>10114</v>
      </c>
      <c r="G18" s="13">
        <v>11436</v>
      </c>
      <c r="H18" s="13">
        <v>11996</v>
      </c>
      <c r="I18" s="5">
        <f>AVERAGE(E18:H18)</f>
        <v>10702.75</v>
      </c>
      <c r="J18" s="13">
        <v>9508</v>
      </c>
      <c r="K18" s="13">
        <v>12163</v>
      </c>
      <c r="L18" s="13">
        <v>14615</v>
      </c>
      <c r="M18" s="13">
        <v>14123</v>
      </c>
      <c r="N18" s="5">
        <f>AVERAGE(J18:M18)</f>
        <v>12602.25</v>
      </c>
      <c r="O18" s="13">
        <v>10284</v>
      </c>
      <c r="P18" s="13">
        <v>12847</v>
      </c>
      <c r="Q18" s="13">
        <v>15043</v>
      </c>
      <c r="R18" s="13">
        <v>13807</v>
      </c>
      <c r="S18" s="5">
        <f>AVERAGE(O18:R18)</f>
        <v>12995.25</v>
      </c>
      <c r="T18" s="2" t="s">
        <v>65</v>
      </c>
    </row>
    <row r="19" spans="3:20" hidden="1" outlineLevel="1" x14ac:dyDescent="0.25">
      <c r="C19" s="14" t="s">
        <v>39</v>
      </c>
      <c r="D19" s="2" t="s">
        <v>6</v>
      </c>
      <c r="E19" s="1">
        <f t="shared" ref="E19:S19" si="10">+E18*0.8</f>
        <v>7412</v>
      </c>
      <c r="F19" s="1">
        <f t="shared" si="10"/>
        <v>8091.2000000000007</v>
      </c>
      <c r="G19" s="1">
        <f t="shared" si="10"/>
        <v>9148.8000000000011</v>
      </c>
      <c r="H19" s="1">
        <f t="shared" si="10"/>
        <v>9596.8000000000011</v>
      </c>
      <c r="I19" s="1">
        <f t="shared" si="10"/>
        <v>8562.2000000000007</v>
      </c>
      <c r="J19" s="1">
        <f t="shared" si="10"/>
        <v>7606.4000000000005</v>
      </c>
      <c r="K19" s="1">
        <f t="shared" si="10"/>
        <v>9730.4</v>
      </c>
      <c r="L19" s="1">
        <f t="shared" si="10"/>
        <v>11692</v>
      </c>
      <c r="M19" s="1">
        <f t="shared" si="10"/>
        <v>11298.400000000001</v>
      </c>
      <c r="N19" s="1">
        <f t="shared" si="10"/>
        <v>10081.800000000001</v>
      </c>
      <c r="O19" s="1">
        <f t="shared" si="10"/>
        <v>8227.2000000000007</v>
      </c>
      <c r="P19" s="1">
        <f t="shared" si="10"/>
        <v>10277.6</v>
      </c>
      <c r="Q19" s="1">
        <f t="shared" si="10"/>
        <v>12034.400000000001</v>
      </c>
      <c r="R19" s="1">
        <f t="shared" si="10"/>
        <v>11045.6</v>
      </c>
      <c r="S19" s="1">
        <f t="shared" si="10"/>
        <v>10396.200000000001</v>
      </c>
      <c r="T19" s="2" t="s">
        <v>63</v>
      </c>
    </row>
    <row r="20" spans="3:20" collapsed="1" x14ac:dyDescent="0.25"/>
    <row r="21" spans="3:20" ht="13.5" thickBot="1" x14ac:dyDescent="0.3">
      <c r="C21" s="43" t="s">
        <v>10</v>
      </c>
      <c r="D21" s="65">
        <v>45439</v>
      </c>
      <c r="E21" s="43"/>
      <c r="F21" s="43"/>
      <c r="G21" s="43"/>
      <c r="H21" s="43"/>
      <c r="I21" s="43"/>
      <c r="J21" s="43"/>
      <c r="K21" s="43"/>
      <c r="L21" s="43"/>
      <c r="M21" s="43"/>
      <c r="N21" s="43"/>
      <c r="O21" s="43"/>
      <c r="P21" s="43"/>
      <c r="Q21" s="43"/>
      <c r="R21" s="43"/>
      <c r="S21" s="43"/>
      <c r="T21" s="43"/>
    </row>
    <row r="22" spans="3:20" x14ac:dyDescent="0.25">
      <c r="C22" s="45" t="s">
        <v>3</v>
      </c>
      <c r="D22" s="45" t="s">
        <v>2</v>
      </c>
      <c r="E22" s="64" t="s">
        <v>49</v>
      </c>
      <c r="F22" s="64" t="s">
        <v>50</v>
      </c>
      <c r="G22" s="64" t="s">
        <v>51</v>
      </c>
      <c r="H22" s="64" t="s">
        <v>52</v>
      </c>
      <c r="I22" s="64" t="s">
        <v>361</v>
      </c>
      <c r="J22" s="64" t="s">
        <v>53</v>
      </c>
      <c r="K22" s="64" t="s">
        <v>54</v>
      </c>
      <c r="L22" s="64" t="s">
        <v>55</v>
      </c>
      <c r="M22" s="64" t="s">
        <v>56</v>
      </c>
      <c r="N22" s="64" t="s">
        <v>359</v>
      </c>
      <c r="O22" s="64" t="s">
        <v>57</v>
      </c>
      <c r="P22" s="64" t="s">
        <v>58</v>
      </c>
      <c r="Q22" s="64" t="s">
        <v>59</v>
      </c>
      <c r="R22" s="64" t="s">
        <v>60</v>
      </c>
      <c r="S22" s="64" t="s">
        <v>360</v>
      </c>
      <c r="T22" s="45" t="s">
        <v>64</v>
      </c>
    </row>
    <row r="23" spans="3:20" x14ac:dyDescent="0.25">
      <c r="C23" s="14"/>
      <c r="D23" s="2" t="s">
        <v>4</v>
      </c>
      <c r="E23" s="1">
        <f t="shared" ref="E23:S23" si="11">+E24*1.2</f>
        <v>72366</v>
      </c>
      <c r="F23" s="1">
        <f t="shared" si="11"/>
        <v>52773.599999999999</v>
      </c>
      <c r="G23" s="1">
        <f t="shared" si="11"/>
        <v>49414.799999999996</v>
      </c>
      <c r="H23" s="1">
        <f t="shared" si="11"/>
        <v>80631.599999999991</v>
      </c>
      <c r="I23" s="1">
        <f t="shared" si="11"/>
        <v>63796.5</v>
      </c>
      <c r="J23" s="1">
        <f t="shared" si="11"/>
        <v>92482.8</v>
      </c>
      <c r="K23" s="1">
        <f t="shared" si="11"/>
        <v>83820</v>
      </c>
      <c r="L23" s="1">
        <f t="shared" si="11"/>
        <v>78480</v>
      </c>
      <c r="M23" s="1">
        <f t="shared" si="11"/>
        <v>120321.59999999999</v>
      </c>
      <c r="N23" s="1">
        <f t="shared" si="11"/>
        <v>93776.099999999991</v>
      </c>
      <c r="O23" s="1">
        <f t="shared" si="11"/>
        <v>88900.800000000003</v>
      </c>
      <c r="P23" s="1">
        <f t="shared" si="11"/>
        <v>82866</v>
      </c>
      <c r="Q23" s="1">
        <f t="shared" si="11"/>
        <v>77317.2</v>
      </c>
      <c r="R23" s="1">
        <f t="shared" si="11"/>
        <v>115158</v>
      </c>
      <c r="S23" s="1">
        <f t="shared" si="11"/>
        <v>91060.5</v>
      </c>
      <c r="T23" s="2"/>
    </row>
    <row r="24" spans="3:20" x14ac:dyDescent="0.25">
      <c r="C24" s="14" t="s">
        <v>11</v>
      </c>
      <c r="D24" s="2" t="s">
        <v>5</v>
      </c>
      <c r="E24" s="13">
        <v>60305</v>
      </c>
      <c r="F24" s="13">
        <v>43978</v>
      </c>
      <c r="G24" s="13">
        <v>41179</v>
      </c>
      <c r="H24" s="13">
        <v>67193</v>
      </c>
      <c r="I24" s="5">
        <f>AVERAGE(E24:H24)</f>
        <v>53163.75</v>
      </c>
      <c r="J24" s="13">
        <v>77069</v>
      </c>
      <c r="K24" s="13">
        <v>69850</v>
      </c>
      <c r="L24" s="13">
        <v>65400</v>
      </c>
      <c r="M24" s="13">
        <v>100268</v>
      </c>
      <c r="N24" s="5">
        <f>AVERAGE(J24:M24)</f>
        <v>78146.75</v>
      </c>
      <c r="O24" s="13">
        <v>74084</v>
      </c>
      <c r="P24" s="13">
        <v>69055</v>
      </c>
      <c r="Q24" s="13">
        <v>64431</v>
      </c>
      <c r="R24" s="13">
        <v>95965</v>
      </c>
      <c r="S24" s="5">
        <f>AVERAGE(O24:R24)</f>
        <v>75883.75</v>
      </c>
      <c r="T24" s="2" t="s">
        <v>65</v>
      </c>
    </row>
    <row r="25" spans="3:20" x14ac:dyDescent="0.25">
      <c r="C25" s="14"/>
      <c r="D25" s="2" t="s">
        <v>6</v>
      </c>
      <c r="E25" s="1">
        <f t="shared" ref="E25:S25" si="12">+E24*0.8</f>
        <v>48244</v>
      </c>
      <c r="F25" s="1">
        <f t="shared" si="12"/>
        <v>35182.400000000001</v>
      </c>
      <c r="G25" s="1">
        <f t="shared" si="12"/>
        <v>32943.200000000004</v>
      </c>
      <c r="H25" s="1">
        <f t="shared" si="12"/>
        <v>53754.400000000001</v>
      </c>
      <c r="I25" s="1">
        <f t="shared" si="12"/>
        <v>42531</v>
      </c>
      <c r="J25" s="1">
        <f t="shared" si="12"/>
        <v>61655.200000000004</v>
      </c>
      <c r="K25" s="1">
        <f t="shared" si="12"/>
        <v>55880</v>
      </c>
      <c r="L25" s="1">
        <f t="shared" si="12"/>
        <v>52320</v>
      </c>
      <c r="M25" s="1">
        <f t="shared" si="12"/>
        <v>80214.400000000009</v>
      </c>
      <c r="N25" s="1">
        <f t="shared" si="12"/>
        <v>62517.4</v>
      </c>
      <c r="O25" s="1">
        <f t="shared" si="12"/>
        <v>59267.200000000004</v>
      </c>
      <c r="P25" s="1">
        <f t="shared" si="12"/>
        <v>55244</v>
      </c>
      <c r="Q25" s="1">
        <f t="shared" si="12"/>
        <v>51544.800000000003</v>
      </c>
      <c r="R25" s="1">
        <f t="shared" si="12"/>
        <v>76772</v>
      </c>
      <c r="S25" s="1">
        <f t="shared" si="12"/>
        <v>60707</v>
      </c>
      <c r="T25" s="2"/>
    </row>
    <row r="26" spans="3:20" x14ac:dyDescent="0.25">
      <c r="C26" s="14"/>
      <c r="D26" s="2" t="s">
        <v>4</v>
      </c>
      <c r="E26" s="1">
        <f t="shared" ref="E26:S26" si="13">+E27*1.2</f>
        <v>62971.199999999997</v>
      </c>
      <c r="F26" s="1">
        <f t="shared" si="13"/>
        <v>57966</v>
      </c>
      <c r="G26" s="1">
        <f t="shared" si="13"/>
        <v>54854.400000000001</v>
      </c>
      <c r="H26" s="1">
        <f t="shared" si="13"/>
        <v>85358.399999999994</v>
      </c>
      <c r="I26" s="1">
        <f t="shared" si="13"/>
        <v>65287.5</v>
      </c>
      <c r="J26" s="1">
        <f t="shared" si="13"/>
        <v>75367.199999999997</v>
      </c>
      <c r="K26" s="1">
        <f t="shared" si="13"/>
        <v>67396.800000000003</v>
      </c>
      <c r="L26" s="1">
        <f t="shared" si="13"/>
        <v>63796.799999999996</v>
      </c>
      <c r="M26" s="1">
        <f t="shared" si="13"/>
        <v>98296.8</v>
      </c>
      <c r="N26" s="1">
        <f t="shared" si="13"/>
        <v>76214.399999999994</v>
      </c>
      <c r="O26" s="1">
        <f t="shared" si="13"/>
        <v>72381.599999999991</v>
      </c>
      <c r="P26" s="1">
        <f t="shared" si="13"/>
        <v>67404</v>
      </c>
      <c r="Q26" s="1">
        <f t="shared" si="13"/>
        <v>62856</v>
      </c>
      <c r="R26" s="1">
        <f t="shared" si="13"/>
        <v>94038</v>
      </c>
      <c r="S26" s="1">
        <f t="shared" si="13"/>
        <v>74169.899999999994</v>
      </c>
      <c r="T26" s="2"/>
    </row>
    <row r="27" spans="3:20" x14ac:dyDescent="0.25">
      <c r="C27" s="14" t="s">
        <v>13</v>
      </c>
      <c r="D27" s="2" t="s">
        <v>5</v>
      </c>
      <c r="E27" s="13">
        <v>52476</v>
      </c>
      <c r="F27" s="13">
        <v>48305</v>
      </c>
      <c r="G27" s="13">
        <v>45712</v>
      </c>
      <c r="H27" s="13">
        <v>71132</v>
      </c>
      <c r="I27" s="5">
        <f>AVERAGE(E27:H27)</f>
        <v>54406.25</v>
      </c>
      <c r="J27" s="13">
        <v>62806</v>
      </c>
      <c r="K27" s="13">
        <v>56164</v>
      </c>
      <c r="L27" s="13">
        <v>53164</v>
      </c>
      <c r="M27" s="13">
        <v>81914</v>
      </c>
      <c r="N27" s="5">
        <f>AVERAGE(J27:M27)</f>
        <v>63512</v>
      </c>
      <c r="O27" s="13">
        <v>60318</v>
      </c>
      <c r="P27" s="13">
        <v>56170</v>
      </c>
      <c r="Q27" s="13">
        <v>52380</v>
      </c>
      <c r="R27" s="13">
        <v>78365</v>
      </c>
      <c r="S27" s="5">
        <f>AVERAGE(O27:R27)</f>
        <v>61808.25</v>
      </c>
      <c r="T27" s="2" t="s">
        <v>65</v>
      </c>
    </row>
    <row r="28" spans="3:20" x14ac:dyDescent="0.25">
      <c r="C28" s="14"/>
      <c r="D28" s="2" t="s">
        <v>6</v>
      </c>
      <c r="E28" s="1">
        <f t="shared" ref="E28:S28" si="14">+E27*0.8</f>
        <v>41980.800000000003</v>
      </c>
      <c r="F28" s="1">
        <f t="shared" si="14"/>
        <v>38644</v>
      </c>
      <c r="G28" s="1">
        <f t="shared" si="14"/>
        <v>36569.599999999999</v>
      </c>
      <c r="H28" s="1">
        <f t="shared" si="14"/>
        <v>56905.600000000006</v>
      </c>
      <c r="I28" s="1">
        <f t="shared" si="14"/>
        <v>43525</v>
      </c>
      <c r="J28" s="1">
        <f t="shared" si="14"/>
        <v>50244.800000000003</v>
      </c>
      <c r="K28" s="1">
        <f t="shared" si="14"/>
        <v>44931.200000000004</v>
      </c>
      <c r="L28" s="1">
        <f t="shared" si="14"/>
        <v>42531.200000000004</v>
      </c>
      <c r="M28" s="1">
        <f t="shared" si="14"/>
        <v>65531.200000000004</v>
      </c>
      <c r="N28" s="1">
        <f t="shared" si="14"/>
        <v>50809.600000000006</v>
      </c>
      <c r="O28" s="1">
        <f t="shared" si="14"/>
        <v>48254.400000000001</v>
      </c>
      <c r="P28" s="1">
        <f t="shared" si="14"/>
        <v>44936</v>
      </c>
      <c r="Q28" s="1">
        <f t="shared" si="14"/>
        <v>41904</v>
      </c>
      <c r="R28" s="1">
        <f t="shared" si="14"/>
        <v>62692</v>
      </c>
      <c r="S28" s="1">
        <f t="shared" si="14"/>
        <v>49446.600000000006</v>
      </c>
      <c r="T28" s="2"/>
    </row>
    <row r="29" spans="3:20" x14ac:dyDescent="0.25">
      <c r="C29" s="14"/>
      <c r="D29" s="2" t="s">
        <v>4</v>
      </c>
      <c r="E29" s="1">
        <f t="shared" ref="E29:S29" si="15">+E30*1.2</f>
        <v>54394.799999999996</v>
      </c>
      <c r="F29" s="1">
        <f t="shared" si="15"/>
        <v>57108</v>
      </c>
      <c r="G29" s="1">
        <f t="shared" si="15"/>
        <v>52672.799999999996</v>
      </c>
      <c r="H29" s="1">
        <f t="shared" si="15"/>
        <v>79726.8</v>
      </c>
      <c r="I29" s="1">
        <f t="shared" si="15"/>
        <v>60975.6</v>
      </c>
      <c r="J29" s="1">
        <f t="shared" si="15"/>
        <v>63819.6</v>
      </c>
      <c r="K29" s="1">
        <f t="shared" si="15"/>
        <v>57848.4</v>
      </c>
      <c r="L29" s="1">
        <f t="shared" si="15"/>
        <v>54160.799999999996</v>
      </c>
      <c r="M29" s="1">
        <f t="shared" si="15"/>
        <v>82770</v>
      </c>
      <c r="N29" s="1">
        <f t="shared" si="15"/>
        <v>64649.7</v>
      </c>
      <c r="O29" s="1">
        <f t="shared" si="15"/>
        <v>61266</v>
      </c>
      <c r="P29" s="1">
        <f t="shared" si="15"/>
        <v>57135.6</v>
      </c>
      <c r="Q29" s="1">
        <f t="shared" si="15"/>
        <v>53361.599999999999</v>
      </c>
      <c r="R29" s="1">
        <f t="shared" si="15"/>
        <v>79236</v>
      </c>
      <c r="S29" s="1">
        <f t="shared" si="15"/>
        <v>62749.799999999996</v>
      </c>
      <c r="T29" s="2"/>
    </row>
    <row r="30" spans="3:20" x14ac:dyDescent="0.25">
      <c r="C30" s="14" t="s">
        <v>12</v>
      </c>
      <c r="D30" s="2" t="s">
        <v>5</v>
      </c>
      <c r="E30" s="13">
        <v>45329</v>
      </c>
      <c r="F30" s="13">
        <v>47590</v>
      </c>
      <c r="G30" s="13">
        <v>43894</v>
      </c>
      <c r="H30" s="13">
        <v>66439</v>
      </c>
      <c r="I30" s="5">
        <f>AVERAGE(E30:H30)</f>
        <v>50813</v>
      </c>
      <c r="J30" s="13">
        <v>53183</v>
      </c>
      <c r="K30" s="13">
        <v>48207</v>
      </c>
      <c r="L30" s="13">
        <v>45134</v>
      </c>
      <c r="M30" s="13">
        <v>68975</v>
      </c>
      <c r="N30" s="5">
        <f>AVERAGE(J30:M30)</f>
        <v>53874.75</v>
      </c>
      <c r="O30" s="13">
        <v>51055</v>
      </c>
      <c r="P30" s="13">
        <v>47613</v>
      </c>
      <c r="Q30" s="13">
        <v>44468</v>
      </c>
      <c r="R30" s="13">
        <v>66030</v>
      </c>
      <c r="S30" s="5">
        <f>AVERAGE(O30:R30)</f>
        <v>52291.5</v>
      </c>
      <c r="T30" s="2" t="s">
        <v>65</v>
      </c>
    </row>
    <row r="31" spans="3:20" x14ac:dyDescent="0.25">
      <c r="C31" s="14"/>
      <c r="D31" s="2" t="s">
        <v>6</v>
      </c>
      <c r="E31" s="1">
        <f t="shared" ref="E31:S31" si="16">+E30*0.8</f>
        <v>36263.200000000004</v>
      </c>
      <c r="F31" s="1">
        <f t="shared" si="16"/>
        <v>38072</v>
      </c>
      <c r="G31" s="1">
        <f t="shared" si="16"/>
        <v>35115.200000000004</v>
      </c>
      <c r="H31" s="1">
        <f t="shared" si="16"/>
        <v>53151.200000000004</v>
      </c>
      <c r="I31" s="1">
        <f t="shared" si="16"/>
        <v>40650.400000000001</v>
      </c>
      <c r="J31" s="1">
        <f t="shared" si="16"/>
        <v>42546.400000000001</v>
      </c>
      <c r="K31" s="1">
        <f t="shared" si="16"/>
        <v>38565.599999999999</v>
      </c>
      <c r="L31" s="1">
        <f t="shared" si="16"/>
        <v>36107.200000000004</v>
      </c>
      <c r="M31" s="1">
        <f t="shared" si="16"/>
        <v>55180</v>
      </c>
      <c r="N31" s="1">
        <f t="shared" si="16"/>
        <v>43099.8</v>
      </c>
      <c r="O31" s="1">
        <f t="shared" si="16"/>
        <v>40844</v>
      </c>
      <c r="P31" s="1">
        <f t="shared" si="16"/>
        <v>38090.400000000001</v>
      </c>
      <c r="Q31" s="1">
        <f t="shared" si="16"/>
        <v>35574.400000000001</v>
      </c>
      <c r="R31" s="1">
        <f t="shared" si="16"/>
        <v>52824</v>
      </c>
      <c r="S31" s="1">
        <f t="shared" si="16"/>
        <v>41833.200000000004</v>
      </c>
      <c r="T31" s="2"/>
    </row>
    <row r="32" spans="3:20" x14ac:dyDescent="0.25">
      <c r="C32" s="14"/>
      <c r="D32" s="2" t="s">
        <v>4</v>
      </c>
      <c r="E32" s="1">
        <f t="shared" ref="E32:R32" si="17">+E33*1.2</f>
        <v>62931.6</v>
      </c>
      <c r="F32" s="1">
        <f t="shared" si="17"/>
        <v>54940.799999999996</v>
      </c>
      <c r="G32" s="1">
        <f t="shared" si="17"/>
        <v>50926.799999999996</v>
      </c>
      <c r="H32" s="1">
        <f t="shared" si="17"/>
        <v>75415.199999999997</v>
      </c>
      <c r="I32" s="1">
        <f t="shared" si="17"/>
        <v>60975.6</v>
      </c>
      <c r="J32" s="1">
        <f t="shared" si="17"/>
        <v>63819.6</v>
      </c>
      <c r="K32" s="1">
        <f t="shared" si="17"/>
        <v>57848.4</v>
      </c>
      <c r="L32" s="1">
        <f t="shared" si="17"/>
        <v>54160.799999999996</v>
      </c>
      <c r="M32" s="1">
        <f t="shared" si="17"/>
        <v>82770</v>
      </c>
      <c r="N32" s="1">
        <f t="shared" si="17"/>
        <v>64649.7</v>
      </c>
      <c r="O32" s="1">
        <f t="shared" si="17"/>
        <v>61266</v>
      </c>
      <c r="P32" s="1">
        <f t="shared" si="17"/>
        <v>57135.6</v>
      </c>
      <c r="Q32" s="1">
        <f t="shared" si="17"/>
        <v>53361.599999999999</v>
      </c>
      <c r="R32" s="1">
        <f t="shared" si="17"/>
        <v>79236</v>
      </c>
      <c r="T32" s="2"/>
    </row>
    <row r="33" spans="3:20" x14ac:dyDescent="0.25">
      <c r="C33" s="228" t="s">
        <v>17</v>
      </c>
      <c r="D33" s="2" t="s">
        <v>5</v>
      </c>
      <c r="E33" s="13">
        <v>52443</v>
      </c>
      <c r="F33" s="13">
        <v>45784</v>
      </c>
      <c r="G33" s="13">
        <v>42439</v>
      </c>
      <c r="H33" s="13">
        <v>62846</v>
      </c>
      <c r="I33" s="208">
        <f>+I30</f>
        <v>50813</v>
      </c>
      <c r="J33" s="207">
        <f t="shared" ref="J33:S33" si="18">+J30</f>
        <v>53183</v>
      </c>
      <c r="K33" s="207">
        <f t="shared" si="18"/>
        <v>48207</v>
      </c>
      <c r="L33" s="207">
        <f t="shared" si="18"/>
        <v>45134</v>
      </c>
      <c r="M33" s="207">
        <f t="shared" si="18"/>
        <v>68975</v>
      </c>
      <c r="N33" s="208">
        <f t="shared" si="18"/>
        <v>53874.75</v>
      </c>
      <c r="O33" s="207">
        <f t="shared" si="18"/>
        <v>51055</v>
      </c>
      <c r="P33" s="207">
        <f t="shared" si="18"/>
        <v>47613</v>
      </c>
      <c r="Q33" s="207">
        <f t="shared" si="18"/>
        <v>44468</v>
      </c>
      <c r="R33" s="207">
        <f t="shared" si="18"/>
        <v>66030</v>
      </c>
      <c r="S33" s="6">
        <f t="shared" si="18"/>
        <v>52291.5</v>
      </c>
      <c r="T33" s="2" t="s">
        <v>41</v>
      </c>
    </row>
    <row r="34" spans="3:20" x14ac:dyDescent="0.25">
      <c r="C34" s="14"/>
      <c r="D34" s="2" t="s">
        <v>6</v>
      </c>
      <c r="E34" s="1">
        <f t="shared" ref="E34:R34" si="19">+E33*0.8</f>
        <v>41954.400000000001</v>
      </c>
      <c r="F34" s="1">
        <f t="shared" si="19"/>
        <v>36627.200000000004</v>
      </c>
      <c r="G34" s="1">
        <f t="shared" si="19"/>
        <v>33951.200000000004</v>
      </c>
      <c r="H34" s="1">
        <f t="shared" si="19"/>
        <v>50276.800000000003</v>
      </c>
      <c r="I34" s="1">
        <f t="shared" si="19"/>
        <v>40650.400000000001</v>
      </c>
      <c r="J34" s="1">
        <f t="shared" si="19"/>
        <v>42546.400000000001</v>
      </c>
      <c r="K34" s="1">
        <f t="shared" si="19"/>
        <v>38565.599999999999</v>
      </c>
      <c r="L34" s="1">
        <f t="shared" si="19"/>
        <v>36107.200000000004</v>
      </c>
      <c r="M34" s="1">
        <f t="shared" si="19"/>
        <v>55180</v>
      </c>
      <c r="N34" s="1">
        <f t="shared" si="19"/>
        <v>43099.8</v>
      </c>
      <c r="O34" s="1">
        <f t="shared" si="19"/>
        <v>40844</v>
      </c>
      <c r="P34" s="1">
        <f t="shared" si="19"/>
        <v>38090.400000000001</v>
      </c>
      <c r="Q34" s="1">
        <f t="shared" si="19"/>
        <v>35574.400000000001</v>
      </c>
      <c r="R34" s="1">
        <f t="shared" si="19"/>
        <v>52824</v>
      </c>
      <c r="T34" s="2"/>
    </row>
    <row r="35" spans="3:20" x14ac:dyDescent="0.25">
      <c r="C35" s="14"/>
      <c r="D35" s="2" t="s">
        <v>4</v>
      </c>
      <c r="E35" s="1">
        <f t="shared" ref="E35:R35" si="20">+E36*1.2</f>
        <v>48805.2</v>
      </c>
      <c r="F35" s="1">
        <f t="shared" si="20"/>
        <v>43748.4</v>
      </c>
      <c r="G35" s="1">
        <f t="shared" si="20"/>
        <v>40660.799999999996</v>
      </c>
      <c r="H35" s="1">
        <f t="shared" si="20"/>
        <v>59493.599999999999</v>
      </c>
      <c r="I35" s="1">
        <f t="shared" si="20"/>
        <v>41434.799999999996</v>
      </c>
      <c r="J35" s="1">
        <f t="shared" si="20"/>
        <v>42632.04</v>
      </c>
      <c r="K35" s="1">
        <f t="shared" si="20"/>
        <v>38045.040000000001</v>
      </c>
      <c r="L35" s="1">
        <f t="shared" si="20"/>
        <v>34939.08</v>
      </c>
      <c r="M35" s="1">
        <f t="shared" si="20"/>
        <v>49232.04</v>
      </c>
      <c r="N35" s="1">
        <f t="shared" si="20"/>
        <v>41212.049999999996</v>
      </c>
      <c r="O35" s="1">
        <f t="shared" si="20"/>
        <v>37742.76</v>
      </c>
      <c r="P35" s="1">
        <f t="shared" si="20"/>
        <v>35535.72</v>
      </c>
      <c r="Q35" s="1">
        <f t="shared" si="20"/>
        <v>33520.080000000002</v>
      </c>
      <c r="R35" s="1">
        <f t="shared" si="20"/>
        <v>47344.44</v>
      </c>
      <c r="T35" s="2"/>
    </row>
    <row r="36" spans="3:20" x14ac:dyDescent="0.25">
      <c r="C36" s="228" t="s">
        <v>14</v>
      </c>
      <c r="D36" s="2" t="s">
        <v>5</v>
      </c>
      <c r="E36" s="13">
        <v>40671</v>
      </c>
      <c r="F36" s="13">
        <v>36457</v>
      </c>
      <c r="G36" s="13">
        <v>33884</v>
      </c>
      <c r="H36" s="13">
        <v>49578</v>
      </c>
      <c r="I36" s="160">
        <f t="shared" ref="I36:S36" si="21">+I39*1.1</f>
        <v>34529</v>
      </c>
      <c r="J36" s="206">
        <f t="shared" si="21"/>
        <v>35526.700000000004</v>
      </c>
      <c r="K36" s="206">
        <f t="shared" si="21"/>
        <v>31704.200000000004</v>
      </c>
      <c r="L36" s="206">
        <f t="shared" si="21"/>
        <v>29115.9</v>
      </c>
      <c r="M36" s="206">
        <f t="shared" si="21"/>
        <v>41026.700000000004</v>
      </c>
      <c r="N36" s="160">
        <f t="shared" si="21"/>
        <v>34343.375</v>
      </c>
      <c r="O36" s="206">
        <f t="shared" si="21"/>
        <v>31452.300000000003</v>
      </c>
      <c r="P36" s="206">
        <f t="shared" si="21"/>
        <v>29613.100000000002</v>
      </c>
      <c r="Q36" s="206">
        <f t="shared" si="21"/>
        <v>27933.4</v>
      </c>
      <c r="R36" s="206">
        <f t="shared" si="21"/>
        <v>39453.700000000004</v>
      </c>
      <c r="S36" s="5">
        <f t="shared" si="21"/>
        <v>32113.125000000004</v>
      </c>
      <c r="T36" s="2" t="s">
        <v>42</v>
      </c>
    </row>
    <row r="37" spans="3:20" x14ac:dyDescent="0.25">
      <c r="C37" s="14"/>
      <c r="D37" s="2" t="s">
        <v>6</v>
      </c>
      <c r="E37" s="1">
        <f t="shared" ref="E37:R37" si="22">+E36*0.8</f>
        <v>32536.800000000003</v>
      </c>
      <c r="F37" s="1">
        <f t="shared" si="22"/>
        <v>29165.600000000002</v>
      </c>
      <c r="G37" s="1">
        <f t="shared" si="22"/>
        <v>27107.200000000001</v>
      </c>
      <c r="H37" s="1">
        <f t="shared" si="22"/>
        <v>39662.400000000001</v>
      </c>
      <c r="I37" s="1">
        <f t="shared" si="22"/>
        <v>27623.200000000001</v>
      </c>
      <c r="J37" s="1">
        <f t="shared" si="22"/>
        <v>28421.360000000004</v>
      </c>
      <c r="K37" s="1">
        <f t="shared" si="22"/>
        <v>25363.360000000004</v>
      </c>
      <c r="L37" s="1">
        <f t="shared" si="22"/>
        <v>23292.720000000001</v>
      </c>
      <c r="M37" s="1">
        <f t="shared" si="22"/>
        <v>32821.360000000008</v>
      </c>
      <c r="N37" s="1">
        <f t="shared" si="22"/>
        <v>27474.7</v>
      </c>
      <c r="O37" s="1">
        <f t="shared" si="22"/>
        <v>25161.840000000004</v>
      </c>
      <c r="P37" s="1">
        <f t="shared" si="22"/>
        <v>23690.480000000003</v>
      </c>
      <c r="Q37" s="1">
        <f t="shared" si="22"/>
        <v>22346.720000000001</v>
      </c>
      <c r="R37" s="1">
        <f t="shared" si="22"/>
        <v>31562.960000000006</v>
      </c>
      <c r="T37" s="2"/>
    </row>
    <row r="38" spans="3:20" x14ac:dyDescent="0.25">
      <c r="C38" s="14"/>
      <c r="D38" s="2" t="s">
        <v>4</v>
      </c>
      <c r="E38" s="1">
        <f t="shared" ref="E38:R38" si="23">+E39*1.2</f>
        <v>38277.599999999999</v>
      </c>
      <c r="F38" s="1">
        <f t="shared" si="23"/>
        <v>35236.799999999996</v>
      </c>
      <c r="G38" s="1">
        <f t="shared" si="23"/>
        <v>31869.599999999999</v>
      </c>
      <c r="H38" s="1">
        <f t="shared" si="23"/>
        <v>45288</v>
      </c>
      <c r="I38" s="1">
        <f t="shared" si="23"/>
        <v>37668</v>
      </c>
      <c r="J38" s="1">
        <f t="shared" si="23"/>
        <v>38756.400000000001</v>
      </c>
      <c r="K38" s="1">
        <f t="shared" si="23"/>
        <v>34586.400000000001</v>
      </c>
      <c r="L38" s="1">
        <f t="shared" si="23"/>
        <v>31762.799999999999</v>
      </c>
      <c r="M38" s="1">
        <f t="shared" si="23"/>
        <v>44756.4</v>
      </c>
      <c r="N38" s="1">
        <f t="shared" si="23"/>
        <v>37465.5</v>
      </c>
      <c r="O38" s="1">
        <f t="shared" si="23"/>
        <v>34311.599999999999</v>
      </c>
      <c r="P38" s="1">
        <f t="shared" si="23"/>
        <v>32305.199999999997</v>
      </c>
      <c r="Q38" s="1">
        <f t="shared" si="23"/>
        <v>30472.799999999999</v>
      </c>
      <c r="R38" s="1">
        <f t="shared" si="23"/>
        <v>43040.4</v>
      </c>
      <c r="T38" s="2"/>
    </row>
    <row r="39" spans="3:20" x14ac:dyDescent="0.25">
      <c r="C39" s="228" t="s">
        <v>15</v>
      </c>
      <c r="D39" s="2" t="s">
        <v>5</v>
      </c>
      <c r="E39" s="13">
        <v>31898</v>
      </c>
      <c r="F39" s="13">
        <v>29364</v>
      </c>
      <c r="G39" s="13">
        <v>26558</v>
      </c>
      <c r="H39" s="13">
        <v>37740</v>
      </c>
      <c r="I39" s="160">
        <f>AVERAGE(E39:H39)</f>
        <v>31390</v>
      </c>
      <c r="J39" s="13">
        <v>32297</v>
      </c>
      <c r="K39" s="13">
        <v>28822</v>
      </c>
      <c r="L39" s="13">
        <v>26469</v>
      </c>
      <c r="M39" s="13">
        <v>37297</v>
      </c>
      <c r="N39" s="160">
        <f>AVERAGE(J39:M39)</f>
        <v>31221.25</v>
      </c>
      <c r="O39" s="13">
        <v>28593</v>
      </c>
      <c r="P39" s="13">
        <v>26921</v>
      </c>
      <c r="Q39" s="13">
        <v>25394</v>
      </c>
      <c r="R39" s="13">
        <v>35867</v>
      </c>
      <c r="S39" s="5">
        <f>AVERAGE(O39:R39)</f>
        <v>29193.75</v>
      </c>
      <c r="T39" s="2" t="s">
        <v>65</v>
      </c>
    </row>
    <row r="40" spans="3:20" x14ac:dyDescent="0.25">
      <c r="C40" s="14"/>
      <c r="D40" s="2" t="s">
        <v>6</v>
      </c>
      <c r="E40" s="1">
        <f t="shared" ref="E40:R40" si="24">+E39*0.8</f>
        <v>25518.400000000001</v>
      </c>
      <c r="F40" s="1">
        <f t="shared" si="24"/>
        <v>23491.200000000001</v>
      </c>
      <c r="G40" s="1">
        <f t="shared" si="24"/>
        <v>21246.400000000001</v>
      </c>
      <c r="H40" s="1">
        <f t="shared" si="24"/>
        <v>30192</v>
      </c>
      <c r="I40" s="1">
        <f t="shared" si="24"/>
        <v>25112</v>
      </c>
      <c r="J40" s="1">
        <f t="shared" si="24"/>
        <v>25837.600000000002</v>
      </c>
      <c r="K40" s="1">
        <f t="shared" si="24"/>
        <v>23057.600000000002</v>
      </c>
      <c r="L40" s="1">
        <f t="shared" si="24"/>
        <v>21175.200000000001</v>
      </c>
      <c r="M40" s="1">
        <f t="shared" si="24"/>
        <v>29837.600000000002</v>
      </c>
      <c r="N40" s="1">
        <f t="shared" si="24"/>
        <v>24977</v>
      </c>
      <c r="O40" s="1">
        <f t="shared" si="24"/>
        <v>22874.400000000001</v>
      </c>
      <c r="P40" s="1">
        <f t="shared" si="24"/>
        <v>21536.800000000003</v>
      </c>
      <c r="Q40" s="1">
        <f t="shared" si="24"/>
        <v>20315.2</v>
      </c>
      <c r="R40" s="1">
        <f t="shared" si="24"/>
        <v>28693.600000000002</v>
      </c>
      <c r="T40" s="2"/>
    </row>
    <row r="41" spans="3:20" x14ac:dyDescent="0.25">
      <c r="C41" s="14"/>
      <c r="D41" s="2" t="s">
        <v>4</v>
      </c>
      <c r="E41" s="1">
        <f t="shared" ref="E41:R41" si="25">+E42*1.2</f>
        <v>49914</v>
      </c>
      <c r="F41" s="1">
        <f t="shared" si="25"/>
        <v>27960</v>
      </c>
      <c r="G41" s="1">
        <f t="shared" si="25"/>
        <v>27960</v>
      </c>
      <c r="H41" s="1">
        <f t="shared" si="25"/>
        <v>27960</v>
      </c>
      <c r="I41" s="1">
        <f t="shared" si="25"/>
        <v>33901.199999999997</v>
      </c>
      <c r="J41" s="1">
        <f t="shared" si="25"/>
        <v>34880.759999999995</v>
      </c>
      <c r="K41" s="1">
        <f t="shared" si="25"/>
        <v>31127.759999999998</v>
      </c>
      <c r="L41" s="1">
        <f t="shared" si="25"/>
        <v>28586.52</v>
      </c>
      <c r="M41" s="1">
        <f t="shared" si="25"/>
        <v>40280.76</v>
      </c>
      <c r="N41" s="1">
        <f t="shared" si="25"/>
        <v>33718.949999999997</v>
      </c>
      <c r="O41" s="1">
        <f t="shared" si="25"/>
        <v>30880.44</v>
      </c>
      <c r="P41" s="1">
        <f t="shared" si="25"/>
        <v>29074.68</v>
      </c>
      <c r="Q41" s="1">
        <f t="shared" si="25"/>
        <v>27425.52</v>
      </c>
      <c r="R41" s="1">
        <f t="shared" si="25"/>
        <v>38736.36</v>
      </c>
      <c r="T41" s="2"/>
    </row>
    <row r="42" spans="3:20" x14ac:dyDescent="0.25">
      <c r="C42" s="14" t="s">
        <v>16</v>
      </c>
      <c r="D42" s="2" t="s">
        <v>5</v>
      </c>
      <c r="E42" s="13">
        <v>41595</v>
      </c>
      <c r="F42" s="13">
        <v>23300</v>
      </c>
      <c r="G42" s="13">
        <v>23300</v>
      </c>
      <c r="H42" s="13">
        <v>23300</v>
      </c>
      <c r="I42" s="160">
        <f t="shared" ref="I42:S42" si="26">+I39*0.9</f>
        <v>28251</v>
      </c>
      <c r="J42" s="206">
        <f t="shared" si="26"/>
        <v>29067.3</v>
      </c>
      <c r="K42" s="206">
        <f t="shared" si="26"/>
        <v>25939.8</v>
      </c>
      <c r="L42" s="206">
        <f t="shared" si="26"/>
        <v>23822.100000000002</v>
      </c>
      <c r="M42" s="206">
        <f t="shared" si="26"/>
        <v>33567.300000000003</v>
      </c>
      <c r="N42" s="160">
        <f t="shared" si="26"/>
        <v>28099.125</v>
      </c>
      <c r="O42" s="206">
        <f t="shared" si="26"/>
        <v>25733.7</v>
      </c>
      <c r="P42" s="206">
        <f t="shared" si="26"/>
        <v>24228.9</v>
      </c>
      <c r="Q42" s="206">
        <f t="shared" si="26"/>
        <v>22854.600000000002</v>
      </c>
      <c r="R42" s="206">
        <f t="shared" si="26"/>
        <v>32280.3</v>
      </c>
      <c r="S42" s="5">
        <f t="shared" si="26"/>
        <v>26274.375</v>
      </c>
      <c r="T42" s="2" t="s">
        <v>43</v>
      </c>
    </row>
    <row r="43" spans="3:20" x14ac:dyDescent="0.25">
      <c r="C43" s="14"/>
      <c r="D43" s="2" t="s">
        <v>6</v>
      </c>
      <c r="E43" s="1">
        <f t="shared" ref="E43:R43" si="27">+E42*0.8</f>
        <v>33276</v>
      </c>
      <c r="F43" s="1">
        <f t="shared" si="27"/>
        <v>18640</v>
      </c>
      <c r="G43" s="1">
        <f t="shared" si="27"/>
        <v>18640</v>
      </c>
      <c r="H43" s="1">
        <f t="shared" si="27"/>
        <v>18640</v>
      </c>
      <c r="I43" s="1">
        <f t="shared" si="27"/>
        <v>22600.800000000003</v>
      </c>
      <c r="J43" s="1">
        <f t="shared" si="27"/>
        <v>23253.84</v>
      </c>
      <c r="K43" s="1">
        <f t="shared" si="27"/>
        <v>20751.84</v>
      </c>
      <c r="L43" s="1">
        <f t="shared" si="27"/>
        <v>19057.680000000004</v>
      </c>
      <c r="M43" s="1">
        <f t="shared" si="27"/>
        <v>26853.840000000004</v>
      </c>
      <c r="N43" s="1">
        <f t="shared" si="27"/>
        <v>22479.300000000003</v>
      </c>
      <c r="O43" s="1">
        <f t="shared" si="27"/>
        <v>20586.960000000003</v>
      </c>
      <c r="P43" s="1">
        <f t="shared" si="27"/>
        <v>19383.120000000003</v>
      </c>
      <c r="Q43" s="1">
        <f t="shared" si="27"/>
        <v>18283.680000000004</v>
      </c>
      <c r="R43" s="1">
        <f t="shared" si="27"/>
        <v>25824.240000000002</v>
      </c>
      <c r="T43" s="2"/>
    </row>
    <row r="44" spans="3:20" x14ac:dyDescent="0.25"/>
    <row r="45" spans="3:20" x14ac:dyDescent="0.25"/>
  </sheetData>
  <pageMargins left="0.7" right="0.7" top="0.75" bottom="0.75" header="0.3" footer="0.3"/>
  <pageSetup paperSize="9" scale="40" orientation="portrait" r:id="rId1"/>
  <ignoredErrors>
    <ignoredError sqref="I6 I9 I15 I18"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BC503-7C92-465F-8A9C-1C7AD301ADD5}">
  <dimension ref="A1:S83"/>
  <sheetViews>
    <sheetView showGridLines="0" zoomScale="130" zoomScaleNormal="130" zoomScaleSheetLayoutView="130" workbookViewId="0">
      <selection activeCell="L29" sqref="L29"/>
    </sheetView>
  </sheetViews>
  <sheetFormatPr defaultColWidth="0" defaultRowHeight="12.75" zeroHeight="1" outlineLevelRow="1" x14ac:dyDescent="0.25"/>
  <cols>
    <col min="1" max="2" width="2.7109375" style="1" customWidth="1"/>
    <col min="3" max="3" width="12.5703125" style="2" bestFit="1" customWidth="1"/>
    <col min="4" max="8" width="10.7109375" style="1" customWidth="1"/>
    <col min="9" max="17" width="9.140625" style="1" customWidth="1"/>
    <col min="18" max="19" width="2.5703125" style="1" customWidth="1"/>
    <col min="20" max="16384" width="9.140625" style="1" hidden="1"/>
  </cols>
  <sheetData>
    <row r="1" spans="3:12" x14ac:dyDescent="0.25"/>
    <row r="2" spans="3:12" ht="13.5" thickBot="1" x14ac:dyDescent="0.3">
      <c r="C2" s="43" t="s">
        <v>358</v>
      </c>
      <c r="D2" s="65">
        <v>45327</v>
      </c>
      <c r="E2" s="65"/>
      <c r="F2" s="65"/>
      <c r="G2" s="65"/>
      <c r="H2" s="65"/>
      <c r="I2" s="65"/>
      <c r="J2" s="65"/>
      <c r="K2" s="65"/>
    </row>
    <row r="3" spans="3:12" hidden="1" outlineLevel="1" x14ac:dyDescent="0.25">
      <c r="C3" s="45" t="s">
        <v>19</v>
      </c>
      <c r="D3" s="64" t="s">
        <v>67</v>
      </c>
      <c r="E3" s="64" t="s">
        <v>66</v>
      </c>
      <c r="F3" s="64" t="s">
        <v>1</v>
      </c>
      <c r="G3" s="64" t="s">
        <v>18</v>
      </c>
      <c r="H3" s="64" t="s">
        <v>73</v>
      </c>
      <c r="I3" s="64" t="s">
        <v>20</v>
      </c>
      <c r="J3" s="64" t="s">
        <v>35</v>
      </c>
      <c r="K3" s="64" t="s">
        <v>39</v>
      </c>
    </row>
    <row r="4" spans="3:12" hidden="1" outlineLevel="1" x14ac:dyDescent="0.25">
      <c r="C4" s="2" t="s">
        <v>21</v>
      </c>
      <c r="D4" s="1">
        <v>0</v>
      </c>
      <c r="E4" s="7">
        <f>+F4*1.2</f>
        <v>81.36</v>
      </c>
      <c r="F4" s="7">
        <v>67.8</v>
      </c>
      <c r="G4" s="7">
        <v>35.799999999999997</v>
      </c>
      <c r="H4" s="7">
        <f>+(I4+G4)/2</f>
        <v>34.549999999999997</v>
      </c>
      <c r="I4" s="7">
        <v>33.299999999999997</v>
      </c>
      <c r="J4" s="7">
        <v>31.6</v>
      </c>
      <c r="K4" s="7">
        <v>30</v>
      </c>
    </row>
    <row r="5" spans="3:12" hidden="1" outlineLevel="1" x14ac:dyDescent="0.25">
      <c r="C5" s="2" t="s">
        <v>22</v>
      </c>
      <c r="D5" s="1">
        <v>0</v>
      </c>
      <c r="E5" s="7">
        <f t="shared" ref="E5:E10" si="0">+F5*1.2</f>
        <v>76.8</v>
      </c>
      <c r="F5" s="7">
        <v>64</v>
      </c>
      <c r="G5" s="7">
        <v>38</v>
      </c>
      <c r="H5" s="7">
        <f t="shared" ref="H5:H10" si="1">+(I5+G5)/2</f>
        <v>37</v>
      </c>
      <c r="I5" s="7">
        <v>36</v>
      </c>
      <c r="J5" s="7">
        <v>33.799999999999997</v>
      </c>
      <c r="K5" s="7">
        <v>31.5</v>
      </c>
    </row>
    <row r="6" spans="3:12" ht="15" hidden="1" outlineLevel="1" x14ac:dyDescent="0.25">
      <c r="C6" s="2" t="s">
        <v>23</v>
      </c>
      <c r="D6" s="1">
        <v>5</v>
      </c>
      <c r="E6" s="7">
        <f t="shared" si="0"/>
        <v>58.199999999999996</v>
      </c>
      <c r="F6" s="7">
        <v>48.5</v>
      </c>
      <c r="G6" s="7">
        <v>31.5</v>
      </c>
      <c r="H6" s="7">
        <f t="shared" si="1"/>
        <v>30.75</v>
      </c>
      <c r="I6" s="7">
        <v>30</v>
      </c>
      <c r="J6" s="7">
        <v>27.5</v>
      </c>
      <c r="K6" s="7">
        <v>25</v>
      </c>
      <c r="L6"/>
    </row>
    <row r="7" spans="3:12" hidden="1" outlineLevel="1" x14ac:dyDescent="0.25">
      <c r="C7" s="2" t="s">
        <v>24</v>
      </c>
      <c r="D7" s="1">
        <v>10</v>
      </c>
      <c r="E7" s="7">
        <f t="shared" si="0"/>
        <v>34.799999999999997</v>
      </c>
      <c r="F7" s="7">
        <v>29</v>
      </c>
      <c r="G7" s="7">
        <v>20.5</v>
      </c>
      <c r="H7" s="7">
        <f t="shared" si="1"/>
        <v>19.5</v>
      </c>
      <c r="I7" s="7">
        <v>18.5</v>
      </c>
      <c r="J7" s="7">
        <v>17.3</v>
      </c>
      <c r="K7" s="7">
        <v>16</v>
      </c>
    </row>
    <row r="8" spans="3:12" hidden="1" outlineLevel="1" x14ac:dyDescent="0.25">
      <c r="C8" s="2" t="s">
        <v>25</v>
      </c>
      <c r="D8" s="1">
        <v>15</v>
      </c>
      <c r="E8" s="7">
        <f t="shared" si="0"/>
        <v>21</v>
      </c>
      <c r="F8" s="7">
        <v>17.5</v>
      </c>
      <c r="G8" s="7">
        <v>11.5</v>
      </c>
      <c r="H8" s="7">
        <f t="shared" si="1"/>
        <v>11.65</v>
      </c>
      <c r="I8" s="7">
        <v>11.8</v>
      </c>
      <c r="J8" s="7">
        <v>10.9</v>
      </c>
      <c r="K8" s="7">
        <v>10</v>
      </c>
    </row>
    <row r="9" spans="3:12" hidden="1" outlineLevel="1" x14ac:dyDescent="0.25">
      <c r="C9" s="2" t="s">
        <v>40</v>
      </c>
      <c r="D9" s="1">
        <v>20</v>
      </c>
      <c r="E9" s="7">
        <f t="shared" si="0"/>
        <v>16.8</v>
      </c>
      <c r="F9" s="7">
        <v>14</v>
      </c>
      <c r="G9" s="7">
        <v>8.5</v>
      </c>
      <c r="H9" s="7">
        <f t="shared" si="1"/>
        <v>8</v>
      </c>
      <c r="I9" s="7">
        <v>7.5</v>
      </c>
      <c r="J9" s="7">
        <v>7.1</v>
      </c>
      <c r="K9" s="7">
        <v>6.8</v>
      </c>
    </row>
    <row r="10" spans="3:12" hidden="1" outlineLevel="1" x14ac:dyDescent="0.25">
      <c r="C10" s="2" t="s">
        <v>26</v>
      </c>
      <c r="D10" s="1">
        <v>25</v>
      </c>
      <c r="E10" s="7">
        <f t="shared" si="0"/>
        <v>13.799999999999999</v>
      </c>
      <c r="F10" s="7">
        <v>11.5</v>
      </c>
      <c r="G10" s="7">
        <v>6.8</v>
      </c>
      <c r="H10" s="7">
        <f t="shared" si="1"/>
        <v>6.15</v>
      </c>
      <c r="I10" s="7">
        <v>5.5</v>
      </c>
      <c r="J10" s="7">
        <v>4.8</v>
      </c>
      <c r="K10" s="7">
        <v>3.5</v>
      </c>
    </row>
    <row r="11" spans="3:12" hidden="1" outlineLevel="1" x14ac:dyDescent="0.25">
      <c r="C11" s="87" t="s">
        <v>26</v>
      </c>
      <c r="D11" s="88">
        <v>30</v>
      </c>
      <c r="E11" s="89">
        <f t="shared" ref="E11:K15" si="2">+E10</f>
        <v>13.799999999999999</v>
      </c>
      <c r="F11" s="89">
        <f t="shared" si="2"/>
        <v>11.5</v>
      </c>
      <c r="G11" s="89">
        <f t="shared" si="2"/>
        <v>6.8</v>
      </c>
      <c r="H11" s="89">
        <f t="shared" si="2"/>
        <v>6.15</v>
      </c>
      <c r="I11" s="89">
        <f t="shared" si="2"/>
        <v>5.5</v>
      </c>
      <c r="J11" s="89">
        <f t="shared" si="2"/>
        <v>4.8</v>
      </c>
      <c r="K11" s="89">
        <f t="shared" si="2"/>
        <v>3.5</v>
      </c>
    </row>
    <row r="12" spans="3:12" hidden="1" outlineLevel="1" x14ac:dyDescent="0.25">
      <c r="C12" s="2" t="s">
        <v>26</v>
      </c>
      <c r="D12" s="1">
        <v>35</v>
      </c>
      <c r="E12" s="86">
        <f t="shared" si="2"/>
        <v>13.799999999999999</v>
      </c>
      <c r="F12" s="86">
        <f t="shared" si="2"/>
        <v>11.5</v>
      </c>
      <c r="G12" s="86">
        <f t="shared" si="2"/>
        <v>6.8</v>
      </c>
      <c r="H12" s="86">
        <f t="shared" si="2"/>
        <v>6.15</v>
      </c>
      <c r="I12" s="86">
        <f t="shared" si="2"/>
        <v>5.5</v>
      </c>
      <c r="J12" s="86">
        <f t="shared" si="2"/>
        <v>4.8</v>
      </c>
      <c r="K12" s="86">
        <f t="shared" si="2"/>
        <v>3.5</v>
      </c>
    </row>
    <row r="13" spans="3:12" hidden="1" outlineLevel="1" x14ac:dyDescent="0.25">
      <c r="C13" s="2" t="s">
        <v>26</v>
      </c>
      <c r="D13" s="1">
        <v>40</v>
      </c>
      <c r="E13" s="86">
        <f t="shared" si="2"/>
        <v>13.799999999999999</v>
      </c>
      <c r="F13" s="86">
        <f t="shared" si="2"/>
        <v>11.5</v>
      </c>
      <c r="G13" s="86">
        <f t="shared" si="2"/>
        <v>6.8</v>
      </c>
      <c r="H13" s="86">
        <f t="shared" si="2"/>
        <v>6.15</v>
      </c>
      <c r="I13" s="86">
        <f t="shared" si="2"/>
        <v>5.5</v>
      </c>
      <c r="J13" s="86">
        <f t="shared" si="2"/>
        <v>4.8</v>
      </c>
      <c r="K13" s="86">
        <f t="shared" si="2"/>
        <v>3.5</v>
      </c>
    </row>
    <row r="14" spans="3:12" hidden="1" outlineLevel="1" x14ac:dyDescent="0.25">
      <c r="C14" s="2" t="s">
        <v>26</v>
      </c>
      <c r="D14" s="1">
        <v>45</v>
      </c>
      <c r="E14" s="86">
        <f t="shared" si="2"/>
        <v>13.799999999999999</v>
      </c>
      <c r="F14" s="86">
        <f t="shared" si="2"/>
        <v>11.5</v>
      </c>
      <c r="G14" s="86">
        <f t="shared" si="2"/>
        <v>6.8</v>
      </c>
      <c r="H14" s="86">
        <f t="shared" si="2"/>
        <v>6.15</v>
      </c>
      <c r="I14" s="86">
        <f t="shared" si="2"/>
        <v>5.5</v>
      </c>
      <c r="J14" s="86">
        <f t="shared" si="2"/>
        <v>4.8</v>
      </c>
      <c r="K14" s="86">
        <f t="shared" si="2"/>
        <v>3.5</v>
      </c>
    </row>
    <row r="15" spans="3:12" hidden="1" outlineLevel="1" x14ac:dyDescent="0.25">
      <c r="C15" s="2" t="s">
        <v>26</v>
      </c>
      <c r="D15" s="1">
        <v>50</v>
      </c>
      <c r="E15" s="86">
        <f t="shared" si="2"/>
        <v>13.799999999999999</v>
      </c>
      <c r="F15" s="86">
        <f t="shared" si="2"/>
        <v>11.5</v>
      </c>
      <c r="G15" s="86">
        <f t="shared" si="2"/>
        <v>6.8</v>
      </c>
      <c r="H15" s="86">
        <f t="shared" si="2"/>
        <v>6.15</v>
      </c>
      <c r="I15" s="86">
        <f t="shared" si="2"/>
        <v>5.5</v>
      </c>
      <c r="J15" s="86">
        <f t="shared" si="2"/>
        <v>4.8</v>
      </c>
      <c r="K15" s="86">
        <f t="shared" si="2"/>
        <v>3.5</v>
      </c>
    </row>
    <row r="16" spans="3:12" ht="13.5" customHeight="1" collapsed="1" x14ac:dyDescent="0.25"/>
    <row r="17" spans="3:11" ht="13.5" thickBot="1" x14ac:dyDescent="0.3">
      <c r="C17" s="43" t="s">
        <v>10</v>
      </c>
      <c r="D17" s="65">
        <v>45438</v>
      </c>
      <c r="E17" s="43"/>
      <c r="F17" s="43"/>
      <c r="G17" s="43"/>
      <c r="H17" s="43"/>
      <c r="I17" s="43"/>
      <c r="J17" s="43"/>
      <c r="K17" s="43"/>
    </row>
    <row r="18" spans="3:11" x14ac:dyDescent="0.25">
      <c r="C18" s="45" t="s">
        <v>19</v>
      </c>
      <c r="D18" s="64" t="s">
        <v>67</v>
      </c>
      <c r="E18" s="64" t="s">
        <v>11</v>
      </c>
      <c r="F18" s="64" t="s">
        <v>13</v>
      </c>
      <c r="G18" s="64" t="s">
        <v>12</v>
      </c>
      <c r="H18" s="64" t="s">
        <v>17</v>
      </c>
      <c r="I18" s="64" t="s">
        <v>14</v>
      </c>
      <c r="J18" s="64" t="s">
        <v>15</v>
      </c>
      <c r="K18" s="64" t="s">
        <v>16</v>
      </c>
    </row>
    <row r="19" spans="3:11" x14ac:dyDescent="0.25">
      <c r="C19" s="2" t="s">
        <v>21</v>
      </c>
      <c r="D19" s="1">
        <v>0</v>
      </c>
      <c r="E19" s="7">
        <v>130.5</v>
      </c>
      <c r="F19" s="7">
        <v>88</v>
      </c>
      <c r="G19" s="7">
        <v>72</v>
      </c>
      <c r="H19" s="7">
        <v>74</v>
      </c>
      <c r="I19" s="7">
        <v>60.5</v>
      </c>
      <c r="J19" s="7">
        <v>50.5</v>
      </c>
      <c r="K19" s="7">
        <v>47.5</v>
      </c>
    </row>
    <row r="20" spans="3:11" x14ac:dyDescent="0.25">
      <c r="C20" s="2" t="s">
        <v>22</v>
      </c>
      <c r="D20" s="1">
        <v>0</v>
      </c>
      <c r="E20" s="7">
        <v>140</v>
      </c>
      <c r="F20" s="7">
        <v>97</v>
      </c>
      <c r="G20" s="7">
        <v>80</v>
      </c>
      <c r="H20" s="7">
        <v>82.5</v>
      </c>
      <c r="I20" s="7">
        <v>61</v>
      </c>
      <c r="J20" s="7">
        <v>53</v>
      </c>
      <c r="K20" s="7">
        <v>48</v>
      </c>
    </row>
    <row r="21" spans="3:11" x14ac:dyDescent="0.25">
      <c r="C21" s="2" t="s">
        <v>23</v>
      </c>
      <c r="D21" s="1">
        <v>5</v>
      </c>
      <c r="E21" s="7">
        <v>113</v>
      </c>
      <c r="F21" s="7">
        <v>83</v>
      </c>
      <c r="G21" s="7">
        <v>70.5</v>
      </c>
      <c r="H21" s="7">
        <v>72.5</v>
      </c>
      <c r="I21" s="7">
        <v>53</v>
      </c>
      <c r="J21" s="7">
        <v>45.5</v>
      </c>
      <c r="K21" s="7">
        <v>40.5</v>
      </c>
    </row>
    <row r="22" spans="3:11" x14ac:dyDescent="0.25">
      <c r="C22" s="2" t="s">
        <v>24</v>
      </c>
      <c r="D22" s="1">
        <v>10</v>
      </c>
      <c r="E22" s="7">
        <v>81</v>
      </c>
      <c r="F22" s="7">
        <v>66</v>
      </c>
      <c r="G22" s="7">
        <v>56</v>
      </c>
      <c r="H22" s="7">
        <v>57.5</v>
      </c>
      <c r="I22" s="7">
        <v>43</v>
      </c>
      <c r="J22" s="7">
        <v>38</v>
      </c>
      <c r="K22" s="7">
        <v>33</v>
      </c>
    </row>
    <row r="23" spans="3:11" x14ac:dyDescent="0.25">
      <c r="C23" s="2" t="s">
        <v>25</v>
      </c>
      <c r="D23" s="1">
        <v>15</v>
      </c>
      <c r="E23" s="7">
        <v>55</v>
      </c>
      <c r="F23" s="7">
        <v>47</v>
      </c>
      <c r="G23" s="7">
        <v>41</v>
      </c>
      <c r="H23" s="7">
        <v>42</v>
      </c>
      <c r="I23" s="7">
        <v>30</v>
      </c>
      <c r="J23" s="7">
        <v>25</v>
      </c>
      <c r="K23" s="7">
        <v>21.5</v>
      </c>
    </row>
    <row r="24" spans="3:11" x14ac:dyDescent="0.25">
      <c r="C24" s="2" t="s">
        <v>40</v>
      </c>
      <c r="D24" s="1">
        <v>20</v>
      </c>
      <c r="E24" s="7">
        <v>34.9</v>
      </c>
      <c r="F24" s="7">
        <v>27.1</v>
      </c>
      <c r="G24" s="7">
        <v>22.8</v>
      </c>
      <c r="H24" s="7">
        <v>23.3</v>
      </c>
      <c r="I24" s="7">
        <v>16.8</v>
      </c>
      <c r="J24" s="7">
        <v>14.5</v>
      </c>
      <c r="K24" s="7">
        <v>11.8</v>
      </c>
    </row>
    <row r="25" spans="3:11" x14ac:dyDescent="0.25">
      <c r="C25" s="2" t="s">
        <v>26</v>
      </c>
      <c r="D25" s="1">
        <v>25</v>
      </c>
      <c r="E25" s="7">
        <v>20.7</v>
      </c>
      <c r="F25" s="7">
        <v>11.1</v>
      </c>
      <c r="G25" s="7">
        <v>8.6</v>
      </c>
      <c r="H25" s="7">
        <v>8.6</v>
      </c>
      <c r="I25" s="7">
        <v>6.6</v>
      </c>
      <c r="J25" s="7">
        <v>6.1</v>
      </c>
      <c r="K25" s="7">
        <v>4</v>
      </c>
    </row>
    <row r="26" spans="3:11" x14ac:dyDescent="0.25">
      <c r="C26" s="87" t="s">
        <v>26</v>
      </c>
      <c r="D26" s="88">
        <v>30</v>
      </c>
      <c r="E26" s="89">
        <f t="shared" ref="E26:K29" si="3">+E25</f>
        <v>20.7</v>
      </c>
      <c r="F26" s="89">
        <f t="shared" si="3"/>
        <v>11.1</v>
      </c>
      <c r="G26" s="89">
        <f t="shared" si="3"/>
        <v>8.6</v>
      </c>
      <c r="H26" s="89">
        <f t="shared" si="3"/>
        <v>8.6</v>
      </c>
      <c r="I26" s="89">
        <f t="shared" si="3"/>
        <v>6.6</v>
      </c>
      <c r="J26" s="89">
        <f t="shared" si="3"/>
        <v>6.1</v>
      </c>
      <c r="K26" s="89">
        <f t="shared" si="3"/>
        <v>4</v>
      </c>
    </row>
    <row r="27" spans="3:11" x14ac:dyDescent="0.25">
      <c r="C27" s="2" t="s">
        <v>26</v>
      </c>
      <c r="D27" s="1">
        <v>35</v>
      </c>
      <c r="E27" s="86">
        <f t="shared" si="3"/>
        <v>20.7</v>
      </c>
      <c r="F27" s="86">
        <f t="shared" si="3"/>
        <v>11.1</v>
      </c>
      <c r="G27" s="86">
        <f t="shared" si="3"/>
        <v>8.6</v>
      </c>
      <c r="H27" s="86">
        <f t="shared" si="3"/>
        <v>8.6</v>
      </c>
      <c r="I27" s="86">
        <f t="shared" si="3"/>
        <v>6.6</v>
      </c>
      <c r="J27" s="86">
        <f t="shared" si="3"/>
        <v>6.1</v>
      </c>
      <c r="K27" s="86">
        <f t="shared" si="3"/>
        <v>4</v>
      </c>
    </row>
    <row r="28" spans="3:11" x14ac:dyDescent="0.25">
      <c r="C28" s="2" t="s">
        <v>26</v>
      </c>
      <c r="D28" s="1">
        <v>40</v>
      </c>
      <c r="E28" s="86">
        <f t="shared" si="3"/>
        <v>20.7</v>
      </c>
      <c r="F28" s="86">
        <f t="shared" si="3"/>
        <v>11.1</v>
      </c>
      <c r="G28" s="86">
        <f t="shared" si="3"/>
        <v>8.6</v>
      </c>
      <c r="H28" s="86">
        <f t="shared" si="3"/>
        <v>8.6</v>
      </c>
      <c r="I28" s="86">
        <f t="shared" si="3"/>
        <v>6.6</v>
      </c>
      <c r="J28" s="86">
        <f t="shared" si="3"/>
        <v>6.1</v>
      </c>
      <c r="K28" s="86">
        <f t="shared" si="3"/>
        <v>4</v>
      </c>
    </row>
    <row r="29" spans="3:11" x14ac:dyDescent="0.25">
      <c r="C29" s="2" t="s">
        <v>26</v>
      </c>
      <c r="D29" s="1">
        <v>45</v>
      </c>
      <c r="E29" s="86">
        <f t="shared" si="3"/>
        <v>20.7</v>
      </c>
      <c r="F29" s="86">
        <f t="shared" si="3"/>
        <v>11.1</v>
      </c>
      <c r="G29" s="86">
        <f t="shared" si="3"/>
        <v>8.6</v>
      </c>
      <c r="H29" s="86">
        <f t="shared" si="3"/>
        <v>8.6</v>
      </c>
      <c r="I29" s="86">
        <f t="shared" si="3"/>
        <v>6.6</v>
      </c>
      <c r="J29" s="86">
        <f t="shared" si="3"/>
        <v>6.1</v>
      </c>
      <c r="K29" s="86">
        <f t="shared" si="3"/>
        <v>4</v>
      </c>
    </row>
    <row r="30" spans="3:11" x14ac:dyDescent="0.25">
      <c r="C30" s="2" t="s">
        <v>26</v>
      </c>
      <c r="D30" s="1">
        <v>50</v>
      </c>
      <c r="E30" s="7">
        <v>19</v>
      </c>
      <c r="F30" s="7">
        <v>9</v>
      </c>
      <c r="G30" s="7">
        <v>7</v>
      </c>
      <c r="H30" s="7">
        <v>7</v>
      </c>
      <c r="I30" s="7">
        <v>5</v>
      </c>
      <c r="J30" s="7">
        <v>5</v>
      </c>
      <c r="K30" s="7">
        <v>3</v>
      </c>
    </row>
    <row r="31" spans="3:11" ht="5.0999999999999996" customHeight="1" x14ac:dyDescent="0.25"/>
    <row r="32" spans="3:11" ht="13.5" thickBot="1" x14ac:dyDescent="0.3">
      <c r="C32" s="43" t="s">
        <v>362</v>
      </c>
      <c r="D32" s="65"/>
      <c r="E32" s="65"/>
      <c r="F32" s="65"/>
      <c r="G32" s="65"/>
      <c r="H32" s="65"/>
      <c r="I32" s="65"/>
      <c r="J32" s="65"/>
      <c r="K32" s="65"/>
    </row>
    <row r="33" spans="3:13" x14ac:dyDescent="0.25">
      <c r="C33" s="15" t="s">
        <v>68</v>
      </c>
      <c r="D33" s="15"/>
      <c r="E33" s="15"/>
      <c r="F33" s="16" t="s">
        <v>69</v>
      </c>
      <c r="G33" s="16" t="s">
        <v>70</v>
      </c>
      <c r="H33" s="16" t="s">
        <v>71</v>
      </c>
      <c r="I33" s="16" t="s">
        <v>72</v>
      </c>
      <c r="J33" s="16"/>
      <c r="K33" s="16"/>
    </row>
    <row r="34" spans="3:13" x14ac:dyDescent="0.25">
      <c r="C34" s="14" t="s">
        <v>66</v>
      </c>
      <c r="F34" s="1">
        <f t="array" ref="F34:I34">LINEST($E$5:$E$15,$D$5:$D$15^{1,2,3},1,1)</f>
        <v>-1.4825174825174826E-3</v>
      </c>
      <c r="G34" s="1">
        <v>0.16341258741258746</v>
      </c>
      <c r="H34" s="1">
        <v>-5.7730069930069936</v>
      </c>
      <c r="I34" s="1">
        <v>78.70069930069927</v>
      </c>
    </row>
    <row r="35" spans="3:13" x14ac:dyDescent="0.25">
      <c r="C35" s="14" t="s">
        <v>1</v>
      </c>
      <c r="F35" s="1">
        <f t="array" ref="F35:I35">LINEST($F$5:$F$15,$D$5:$D$15^{1,2,3},1,1)</f>
        <v>-1.2354312354312367E-3</v>
      </c>
      <c r="G35" s="1">
        <v>0.13617715617715631</v>
      </c>
      <c r="H35" s="1">
        <v>-4.8108391608391639</v>
      </c>
      <c r="I35" s="1">
        <v>65.58391608391608</v>
      </c>
    </row>
    <row r="36" spans="3:13" x14ac:dyDescent="0.25">
      <c r="C36" s="14" t="s">
        <v>18</v>
      </c>
      <c r="F36" s="1">
        <f t="array" ref="F36:I36">LINEST($G$5:$G$15,$D$5:$D$15^{1,2,3},1,1)</f>
        <v>-5.5089355089355104E-4</v>
      </c>
      <c r="G36" s="1">
        <v>6.7377622377622431E-2</v>
      </c>
      <c r="H36" s="1">
        <v>-2.6489898989899006</v>
      </c>
      <c r="I36" s="1">
        <v>39.915384615384625</v>
      </c>
      <c r="M36" s="1" t="s">
        <v>1122</v>
      </c>
    </row>
    <row r="37" spans="3:13" x14ac:dyDescent="0.25">
      <c r="C37" s="14" t="s">
        <v>73</v>
      </c>
      <c r="F37" s="1">
        <f t="array" ref="F37:I37">LINEST($H$5:$H$15,$D$5:$D$15^{1,2,3},1,1)</f>
        <v>-5.1561771561771602E-4</v>
      </c>
      <c r="G37" s="1">
        <v>6.4188811188811243E-2</v>
      </c>
      <c r="H37" s="1">
        <v>-2.568752913752915</v>
      </c>
      <c r="I37" s="1">
        <v>38.850699300699304</v>
      </c>
    </row>
    <row r="38" spans="3:13" x14ac:dyDescent="0.25">
      <c r="C38" s="14" t="s">
        <v>20</v>
      </c>
      <c r="F38" s="1">
        <f t="array" ref="F38:I38">LINEST($I$5:$I$15,$D$5:$D$15^{1,2,3},1,1)</f>
        <v>-4.8034188034188138E-4</v>
      </c>
      <c r="G38" s="1">
        <v>6.1000000000000089E-2</v>
      </c>
      <c r="H38" s="1">
        <v>-2.4885159285159304</v>
      </c>
      <c r="I38" s="1">
        <v>37.786013986013998</v>
      </c>
    </row>
    <row r="39" spans="3:13" x14ac:dyDescent="0.25">
      <c r="C39" s="14" t="s">
        <v>35</v>
      </c>
      <c r="F39" s="1">
        <f t="array" ref="F39:I39">LINEST($J$5:$J$15,$D$5:$D$15^{1,2,3},1,1)</f>
        <v>-4.4491064491064514E-4</v>
      </c>
      <c r="G39" s="1">
        <v>5.674358974358977E-2</v>
      </c>
      <c r="H39" s="1">
        <v>-2.3282595182595189</v>
      </c>
      <c r="I39" s="1">
        <v>35.249650349650345</v>
      </c>
    </row>
    <row r="40" spans="3:13" x14ac:dyDescent="0.25">
      <c r="C40" s="14" t="s">
        <v>39</v>
      </c>
      <c r="F40" s="1">
        <f t="array" ref="F40:I40">LINEST($K$5:$K$15,$D$5:$D$15^{1,2,3},1,1)</f>
        <v>-3.7342657342657299E-4</v>
      </c>
      <c r="G40" s="1">
        <v>4.9815850815850791E-2</v>
      </c>
      <c r="H40" s="1">
        <v>-2.1331701631701625</v>
      </c>
      <c r="I40" s="1">
        <v>32.60419580419579</v>
      </c>
    </row>
    <row r="41" spans="3:13" ht="5.0999999999999996" customHeight="1" x14ac:dyDescent="0.25"/>
    <row r="42" spans="3:13" x14ac:dyDescent="0.25">
      <c r="C42" s="15" t="s">
        <v>10</v>
      </c>
      <c r="D42" s="15"/>
      <c r="E42" s="15"/>
      <c r="F42" s="16" t="s">
        <v>69</v>
      </c>
      <c r="G42" s="16" t="s">
        <v>70</v>
      </c>
      <c r="H42" s="16" t="s">
        <v>71</v>
      </c>
      <c r="I42" s="16" t="s">
        <v>72</v>
      </c>
      <c r="J42" s="16"/>
      <c r="K42" s="16"/>
    </row>
    <row r="43" spans="3:13" x14ac:dyDescent="0.25">
      <c r="C43" s="2" t="s">
        <v>11</v>
      </c>
      <c r="F43" s="90">
        <f t="array" ref="F43:I43">LINEST($E$20:$E$30,$D$20:$D$30^{1,2,3},1,1)</f>
        <v>-1.1839937839937813E-3</v>
      </c>
      <c r="G43" s="4">
        <v>0.1784918414918413</v>
      </c>
      <c r="H43" s="56">
        <v>-8.4284537684537639</v>
      </c>
      <c r="I43" s="1">
        <v>144.90349650349648</v>
      </c>
    </row>
    <row r="44" spans="3:13" x14ac:dyDescent="0.25">
      <c r="C44" s="2" t="s">
        <v>13</v>
      </c>
      <c r="F44" s="90">
        <f t="array" ref="F44:I44">LINEST($F$20:$F$30,$D$20:$D$30^{1,2,3},1,1)</f>
        <v>7.5990675990676598E-5</v>
      </c>
      <c r="G44" s="4">
        <v>5.3699300699300651E-2</v>
      </c>
      <c r="H44" s="56">
        <v>-4.6432634032634015</v>
      </c>
      <c r="I44" s="1">
        <v>101.44615384615383</v>
      </c>
    </row>
    <row r="45" spans="3:13" x14ac:dyDescent="0.25">
      <c r="C45" s="2" t="s">
        <v>12</v>
      </c>
      <c r="F45" s="90">
        <f t="array" ref="F45:I45">LINEST($G$20:$G$30,$D$20:$D$30^{1,2,3},1,1)</f>
        <v>2.6138306138306135E-4</v>
      </c>
      <c r="G45" s="4">
        <v>2.9291375291375321E-2</v>
      </c>
      <c r="H45" s="56">
        <v>-3.5869774669774683</v>
      </c>
      <c r="I45" s="1">
        <v>84.177622377622384</v>
      </c>
    </row>
    <row r="46" spans="3:13" x14ac:dyDescent="0.25">
      <c r="C46" s="2" t="s">
        <v>17</v>
      </c>
      <c r="F46" s="90">
        <f t="array" ref="F46:I46">LINEST($H$20:$H$30,$D$20:$D$30^{1,2,3},1,1)</f>
        <v>2.6138306138306249E-4</v>
      </c>
      <c r="G46" s="4">
        <v>3.1039627039626976E-2</v>
      </c>
      <c r="H46" s="56">
        <v>-3.7243900543900543</v>
      </c>
      <c r="I46" s="1">
        <v>86.765034965034999</v>
      </c>
    </row>
    <row r="47" spans="3:13" x14ac:dyDescent="0.25">
      <c r="C47" s="2" t="s">
        <v>14</v>
      </c>
      <c r="F47" s="90">
        <f t="array" ref="F47:I47">LINEST($I$20:$I$30,$D$20:$D$30^{1,2,3},1,1)</f>
        <v>1.2463092463092584E-4</v>
      </c>
      <c r="G47" s="4">
        <v>2.8032634032633983E-2</v>
      </c>
      <c r="H47" s="56">
        <v>-2.83950271950272</v>
      </c>
      <c r="I47" s="1">
        <v>64.156643356643372</v>
      </c>
    </row>
    <row r="48" spans="3:13" x14ac:dyDescent="0.25">
      <c r="C48" s="2" t="s">
        <v>15</v>
      </c>
      <c r="F48" s="90">
        <f t="array" ref="F48:I48">LINEST($J$20:$J$30,$D$20:$D$30^{1,2,3},1,1)</f>
        <v>7.8477078477077959E-5</v>
      </c>
      <c r="G48" s="4">
        <v>2.6864801864801918E-2</v>
      </c>
      <c r="H48" s="56">
        <v>-2.5062160062160075</v>
      </c>
      <c r="I48" s="1">
        <v>55.67832167832168</v>
      </c>
    </row>
    <row r="49" spans="3:13" x14ac:dyDescent="0.25">
      <c r="C49" s="2" t="s">
        <v>16</v>
      </c>
      <c r="F49" s="90">
        <f t="array" ref="F49:I49">LINEST($K$20:$K$30,$D$20:$D$30^{1,2,3},1,1)</f>
        <v>2.9059829059829005E-5</v>
      </c>
      <c r="G49" s="4">
        <v>2.8580419580419611E-2</v>
      </c>
      <c r="H49" s="56">
        <v>-2.4069852369852383</v>
      </c>
      <c r="I49" s="1">
        <v>50.331468531468531</v>
      </c>
    </row>
    <row r="50" spans="3:13" x14ac:dyDescent="0.25"/>
    <row r="51" spans="3:13" x14ac:dyDescent="0.25"/>
    <row r="52" spans="3:13" x14ac:dyDescent="0.25">
      <c r="M52" s="1" t="s">
        <v>1123</v>
      </c>
    </row>
    <row r="53" spans="3:13" x14ac:dyDescent="0.25"/>
    <row r="54" spans="3:13" x14ac:dyDescent="0.25"/>
    <row r="55" spans="3:13" x14ac:dyDescent="0.25"/>
    <row r="56" spans="3:13" x14ac:dyDescent="0.25"/>
    <row r="57" spans="3:13" x14ac:dyDescent="0.25"/>
    <row r="58" spans="3:13" x14ac:dyDescent="0.25"/>
    <row r="59" spans="3:13" x14ac:dyDescent="0.25">
      <c r="F59" s="227"/>
      <c r="G59" s="227"/>
      <c r="H59" s="227"/>
      <c r="I59" s="227"/>
    </row>
    <row r="60" spans="3:13" x14ac:dyDescent="0.25"/>
    <row r="61" spans="3:13" x14ac:dyDescent="0.25"/>
    <row r="62" spans="3:13" x14ac:dyDescent="0.25"/>
    <row r="63" spans="3:13" x14ac:dyDescent="0.25"/>
    <row r="64" spans="3:13"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sheetData>
  <pageMargins left="0.7" right="0.7" top="0.75" bottom="0.75" header="0.3" footer="0.3"/>
  <pageSetup paperSize="9" scale="5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A9523-3D5D-4371-A14B-6B1F93D83DB7}">
  <dimension ref="B1:P34"/>
  <sheetViews>
    <sheetView showGridLines="0" topLeftCell="A3" zoomScale="130" zoomScaleNormal="130" workbookViewId="0">
      <selection activeCell="G15" sqref="G15"/>
    </sheetView>
  </sheetViews>
  <sheetFormatPr defaultColWidth="8.85546875" defaultRowHeight="12" x14ac:dyDescent="0.2"/>
  <cols>
    <col min="1" max="1" width="2.28515625" style="96" customWidth="1"/>
    <col min="2" max="6" width="8.85546875" style="96"/>
    <col min="7" max="7" width="8.140625" style="96" bestFit="1" customWidth="1"/>
    <col min="8" max="16384" width="8.85546875" style="96"/>
  </cols>
  <sheetData>
    <row r="1" spans="2:16" ht="12.75" thickBot="1" x14ac:dyDescent="0.25"/>
    <row r="2" spans="2:16" ht="14.45" customHeight="1" thickBot="1" x14ac:dyDescent="0.25">
      <c r="B2" s="229" t="s">
        <v>730</v>
      </c>
      <c r="C2" s="230"/>
      <c r="D2" s="230"/>
      <c r="E2" s="230"/>
      <c r="F2" s="230"/>
      <c r="G2" s="232"/>
      <c r="H2" s="231"/>
      <c r="J2" s="229" t="s">
        <v>730</v>
      </c>
      <c r="K2" s="230"/>
      <c r="L2" s="230"/>
      <c r="M2" s="230"/>
      <c r="N2" s="230"/>
      <c r="O2" s="232"/>
      <c r="P2" s="231"/>
    </row>
    <row r="3" spans="2:16" ht="14.45" customHeight="1" x14ac:dyDescent="0.2">
      <c r="B3" s="98" t="s">
        <v>731</v>
      </c>
      <c r="C3" s="99"/>
      <c r="D3" s="99"/>
      <c r="E3" s="99"/>
      <c r="F3" s="99"/>
      <c r="G3" s="100">
        <v>325</v>
      </c>
      <c r="H3" s="101"/>
      <c r="J3" s="98" t="s">
        <v>731</v>
      </c>
      <c r="K3" s="99"/>
      <c r="L3" s="99"/>
      <c r="M3" s="99"/>
      <c r="N3" s="99"/>
      <c r="O3" s="100">
        <v>325</v>
      </c>
      <c r="P3" s="101"/>
    </row>
    <row r="4" spans="2:16" ht="14.45" customHeight="1" x14ac:dyDescent="0.2">
      <c r="B4" s="98" t="s">
        <v>732</v>
      </c>
      <c r="C4" s="99"/>
      <c r="D4" s="99"/>
      <c r="E4" s="99"/>
      <c r="F4" s="99"/>
      <c r="G4" s="103">
        <v>295</v>
      </c>
      <c r="H4" s="101"/>
      <c r="J4" s="98" t="s">
        <v>732</v>
      </c>
      <c r="K4" s="99"/>
      <c r="L4" s="99"/>
      <c r="M4" s="99"/>
      <c r="N4" s="99"/>
      <c r="O4" s="103">
        <v>295</v>
      </c>
      <c r="P4" s="101"/>
    </row>
    <row r="5" spans="2:16" x14ac:dyDescent="0.2">
      <c r="B5" s="98" t="s">
        <v>733</v>
      </c>
      <c r="C5" s="99"/>
      <c r="D5" s="99"/>
      <c r="E5" s="99"/>
      <c r="F5" s="99"/>
      <c r="G5" s="103">
        <v>45</v>
      </c>
      <c r="H5" s="101" t="s">
        <v>734</v>
      </c>
      <c r="J5" s="98" t="s">
        <v>733</v>
      </c>
      <c r="K5" s="99"/>
      <c r="L5" s="99"/>
      <c r="M5" s="99"/>
      <c r="N5" s="99"/>
      <c r="O5" s="103">
        <v>45</v>
      </c>
      <c r="P5" s="101" t="s">
        <v>734</v>
      </c>
    </row>
    <row r="6" spans="2:16" x14ac:dyDescent="0.2">
      <c r="B6" s="98" t="s">
        <v>735</v>
      </c>
      <c r="C6" s="99"/>
      <c r="D6" s="99"/>
      <c r="E6" s="99"/>
      <c r="F6" s="99"/>
      <c r="G6" s="103">
        <v>61.5</v>
      </c>
      <c r="H6" s="101" t="s">
        <v>734</v>
      </c>
      <c r="J6" s="98" t="s">
        <v>735</v>
      </c>
      <c r="K6" s="99"/>
      <c r="L6" s="99"/>
      <c r="M6" s="99"/>
      <c r="N6" s="99"/>
      <c r="O6" s="103">
        <v>61.5</v>
      </c>
      <c r="P6" s="101" t="s">
        <v>734</v>
      </c>
    </row>
    <row r="7" spans="2:16" x14ac:dyDescent="0.2">
      <c r="B7" s="98" t="s">
        <v>736</v>
      </c>
      <c r="C7" s="99"/>
      <c r="D7" s="99"/>
      <c r="E7" s="99"/>
      <c r="F7" s="99"/>
      <c r="G7" s="103">
        <v>43</v>
      </c>
      <c r="H7" s="101" t="s">
        <v>734</v>
      </c>
      <c r="J7" s="98" t="s">
        <v>736</v>
      </c>
      <c r="K7" s="99"/>
      <c r="L7" s="99"/>
      <c r="M7" s="99"/>
      <c r="N7" s="99"/>
      <c r="O7" s="103">
        <v>43</v>
      </c>
      <c r="P7" s="101" t="s">
        <v>734</v>
      </c>
    </row>
    <row r="8" spans="2:16" x14ac:dyDescent="0.2">
      <c r="B8" s="98" t="s">
        <v>1088</v>
      </c>
      <c r="C8" s="99"/>
      <c r="D8" s="99"/>
      <c r="E8" s="99"/>
      <c r="F8" s="99"/>
      <c r="G8" s="103">
        <v>30</v>
      </c>
      <c r="H8" s="101" t="s">
        <v>734</v>
      </c>
      <c r="J8" s="98" t="s">
        <v>1088</v>
      </c>
      <c r="K8" s="99"/>
      <c r="L8" s="99"/>
      <c r="M8" s="99"/>
      <c r="N8" s="99"/>
      <c r="O8" s="103">
        <v>30</v>
      </c>
      <c r="P8" s="101" t="s">
        <v>734</v>
      </c>
    </row>
    <row r="9" spans="2:16" x14ac:dyDescent="0.2">
      <c r="B9" s="98" t="s">
        <v>737</v>
      </c>
      <c r="C9" s="99"/>
      <c r="D9" s="99"/>
      <c r="E9" s="99"/>
      <c r="F9" s="99"/>
      <c r="G9" s="103">
        <v>2</v>
      </c>
      <c r="H9" s="101" t="s">
        <v>734</v>
      </c>
      <c r="J9" s="98" t="s">
        <v>737</v>
      </c>
      <c r="K9" s="99"/>
      <c r="L9" s="99"/>
      <c r="M9" s="99"/>
      <c r="N9" s="99"/>
      <c r="O9" s="103">
        <v>2</v>
      </c>
      <c r="P9" s="101" t="s">
        <v>734</v>
      </c>
    </row>
    <row r="10" spans="2:16" ht="12.75" thickBot="1" x14ac:dyDescent="0.25">
      <c r="B10" s="98" t="s">
        <v>738</v>
      </c>
      <c r="C10" s="99"/>
      <c r="D10" s="99"/>
      <c r="E10" s="99"/>
      <c r="F10" s="99"/>
      <c r="G10" s="104">
        <v>1</v>
      </c>
      <c r="H10" s="101" t="s">
        <v>734</v>
      </c>
      <c r="J10" s="98" t="s">
        <v>738</v>
      </c>
      <c r="K10" s="99"/>
      <c r="L10" s="99"/>
      <c r="M10" s="99"/>
      <c r="N10" s="99"/>
      <c r="O10" s="104">
        <v>1</v>
      </c>
      <c r="P10" s="101" t="s">
        <v>734</v>
      </c>
    </row>
    <row r="11" spans="2:16" ht="15" customHeight="1" thickBot="1" x14ac:dyDescent="0.25">
      <c r="B11" s="229" t="s">
        <v>739</v>
      </c>
      <c r="C11" s="230"/>
      <c r="D11" s="230"/>
      <c r="E11" s="230"/>
      <c r="F11" s="230"/>
      <c r="G11" s="233"/>
      <c r="H11" s="231"/>
      <c r="J11" s="229" t="s">
        <v>739</v>
      </c>
      <c r="K11" s="230"/>
      <c r="L11" s="230"/>
      <c r="M11" s="230"/>
      <c r="N11" s="230"/>
      <c r="O11" s="233"/>
      <c r="P11" s="231"/>
    </row>
    <row r="12" spans="2:16" ht="15" x14ac:dyDescent="0.25">
      <c r="B12" s="98" t="s">
        <v>740</v>
      </c>
      <c r="C12" s="99"/>
      <c r="D12" s="99"/>
      <c r="E12" s="99"/>
      <c r="F12" s="99"/>
      <c r="G12" s="138">
        <v>500</v>
      </c>
      <c r="H12" s="101" t="s">
        <v>741</v>
      </c>
      <c r="I12" s="105"/>
      <c r="J12" s="98" t="s">
        <v>740</v>
      </c>
      <c r="K12" s="99"/>
      <c r="L12" s="99"/>
      <c r="M12" s="99"/>
      <c r="N12" s="99"/>
      <c r="O12" s="209">
        <f>G12</f>
        <v>500</v>
      </c>
      <c r="P12" s="101" t="s">
        <v>741</v>
      </c>
    </row>
    <row r="13" spans="2:16" ht="15.75" thickBot="1" x14ac:dyDescent="0.3">
      <c r="B13" s="106" t="s">
        <v>743</v>
      </c>
      <c r="C13" s="107"/>
      <c r="D13" s="107"/>
      <c r="E13" s="107"/>
      <c r="F13" s="107"/>
      <c r="G13" s="139">
        <v>596</v>
      </c>
      <c r="H13" s="108" t="s">
        <v>741</v>
      </c>
      <c r="I13" s="105"/>
      <c r="J13" s="106" t="s">
        <v>743</v>
      </c>
      <c r="K13" s="107"/>
      <c r="L13" s="107"/>
      <c r="M13" s="107"/>
      <c r="N13" s="107"/>
      <c r="O13" s="210">
        <f>G13</f>
        <v>596</v>
      </c>
      <c r="P13" s="108" t="s">
        <v>741</v>
      </c>
    </row>
    <row r="14" spans="2:16" ht="15.75" thickBot="1" x14ac:dyDescent="0.3">
      <c r="B14" s="229" t="s">
        <v>745</v>
      </c>
      <c r="C14" s="230"/>
      <c r="D14" s="230"/>
      <c r="E14" s="230"/>
      <c r="F14" s="230"/>
      <c r="G14" s="233"/>
      <c r="H14" s="231"/>
      <c r="I14" s="105"/>
      <c r="J14" s="229" t="s">
        <v>745</v>
      </c>
      <c r="K14" s="230"/>
      <c r="L14" s="230"/>
      <c r="M14" s="230"/>
      <c r="N14" s="230"/>
      <c r="O14" s="233"/>
      <c r="P14" s="231"/>
    </row>
    <row r="15" spans="2:16" ht="15" x14ac:dyDescent="0.25">
      <c r="B15" s="98" t="s">
        <v>746</v>
      </c>
      <c r="C15" s="99"/>
      <c r="D15" s="99"/>
      <c r="E15" s="99"/>
      <c r="F15" s="99"/>
      <c r="G15" s="109">
        <f>+(G3*(G6-G5)*G13/365)</f>
        <v>8756.301369863013</v>
      </c>
      <c r="H15" s="110" t="s">
        <v>747</v>
      </c>
      <c r="I15" s="105"/>
      <c r="J15" s="98" t="s">
        <v>746</v>
      </c>
      <c r="K15" s="99"/>
      <c r="L15" s="99"/>
      <c r="M15" s="99"/>
      <c r="N15" s="99"/>
      <c r="O15" s="109">
        <f>+(O3*(O6-O5)*O13/365)</f>
        <v>8756.301369863013</v>
      </c>
      <c r="P15" s="110" t="s">
        <v>747</v>
      </c>
    </row>
    <row r="16" spans="2:16" ht="15.75" thickBot="1" x14ac:dyDescent="0.3">
      <c r="B16" s="98" t="s">
        <v>748</v>
      </c>
      <c r="C16" s="107"/>
      <c r="D16" s="107"/>
      <c r="E16" s="107"/>
      <c r="F16" s="107"/>
      <c r="G16" s="109">
        <f>+(G4*(G7-G8)*G13/365)</f>
        <v>6262.0821917808216</v>
      </c>
      <c r="H16" s="111" t="s">
        <v>747</v>
      </c>
      <c r="I16" s="105"/>
      <c r="J16" s="98" t="s">
        <v>748</v>
      </c>
      <c r="K16" s="107"/>
      <c r="L16" s="107"/>
      <c r="M16" s="107"/>
      <c r="N16" s="107"/>
      <c r="O16" s="109">
        <f>+(O4*(O7-O8)*O13)/365</f>
        <v>6262.0821917808216</v>
      </c>
      <c r="P16" s="111" t="s">
        <v>747</v>
      </c>
    </row>
    <row r="17" spans="2:16" ht="15.75" thickBot="1" x14ac:dyDescent="0.3">
      <c r="B17" s="229" t="s">
        <v>749</v>
      </c>
      <c r="C17" s="230"/>
      <c r="D17" s="230"/>
      <c r="E17" s="230"/>
      <c r="F17" s="230"/>
      <c r="G17" s="233"/>
      <c r="H17" s="231"/>
      <c r="I17" s="105"/>
      <c r="J17" s="229" t="s">
        <v>1089</v>
      </c>
      <c r="K17" s="230"/>
      <c r="L17" s="230"/>
      <c r="M17" s="230"/>
      <c r="N17" s="230"/>
      <c r="O17" s="233"/>
      <c r="P17" s="231"/>
    </row>
    <row r="18" spans="2:16" ht="15" x14ac:dyDescent="0.25">
      <c r="B18" s="98" t="s">
        <v>1105</v>
      </c>
      <c r="C18" s="99"/>
      <c r="D18" s="99"/>
      <c r="E18" s="99"/>
      <c r="F18" s="99"/>
      <c r="G18" s="109">
        <f>+(G3*(G5-G9)*(G13-G12))/365</f>
        <v>3675.6164383561645</v>
      </c>
      <c r="H18" s="110" t="s">
        <v>747</v>
      </c>
      <c r="I18" s="105"/>
      <c r="J18" s="98" t="s">
        <v>1105</v>
      </c>
      <c r="K18" s="99"/>
      <c r="L18" s="99"/>
      <c r="M18" s="99"/>
      <c r="N18" s="99"/>
      <c r="O18" s="109">
        <f>((O5-O9)*O3*O13-O3*O5*O12)/365</f>
        <v>2785.205479452055</v>
      </c>
      <c r="P18" s="110" t="s">
        <v>747</v>
      </c>
    </row>
    <row r="19" spans="2:16" ht="15.75" thickBot="1" x14ac:dyDescent="0.3">
      <c r="B19" s="98" t="s">
        <v>1106</v>
      </c>
      <c r="C19" s="107"/>
      <c r="D19" s="107"/>
      <c r="E19" s="107"/>
      <c r="F19" s="107"/>
      <c r="G19" s="109">
        <f>+(G4*(G8-G10)*(G13-G12))/365</f>
        <v>2250.0821917808221</v>
      </c>
      <c r="H19" s="111" t="s">
        <v>747</v>
      </c>
      <c r="I19" s="105"/>
      <c r="J19" s="98" t="s">
        <v>1106</v>
      </c>
      <c r="K19" s="107"/>
      <c r="L19" s="107"/>
      <c r="M19" s="107"/>
      <c r="N19" s="107"/>
      <c r="O19" s="109">
        <f>(O4*(O8-O10)*O13-O4*O8*O12)/365</f>
        <v>1845.972602739726</v>
      </c>
      <c r="P19" s="111" t="s">
        <v>747</v>
      </c>
    </row>
    <row r="20" spans="2:16" ht="12.75" thickBot="1" x14ac:dyDescent="0.25">
      <c r="B20" s="229" t="s">
        <v>750</v>
      </c>
      <c r="C20" s="230"/>
      <c r="D20" s="230"/>
      <c r="E20" s="230"/>
      <c r="F20" s="230"/>
      <c r="G20" s="230"/>
      <c r="H20" s="231"/>
      <c r="J20" s="229" t="s">
        <v>750</v>
      </c>
      <c r="K20" s="230"/>
      <c r="L20" s="230"/>
      <c r="M20" s="230"/>
      <c r="N20" s="230"/>
      <c r="O20" s="230"/>
      <c r="P20" s="231"/>
    </row>
    <row r="21" spans="2:16" x14ac:dyDescent="0.2">
      <c r="B21" s="112" t="s">
        <v>11</v>
      </c>
      <c r="C21" s="97"/>
      <c r="D21" s="97"/>
      <c r="E21" s="97"/>
      <c r="F21" s="97"/>
      <c r="G21" s="113">
        <f>+G18+G15</f>
        <v>12431.917808219177</v>
      </c>
      <c r="H21" s="110" t="s">
        <v>747</v>
      </c>
      <c r="J21" s="112" t="s">
        <v>11</v>
      </c>
      <c r="K21" s="97"/>
      <c r="L21" s="97"/>
      <c r="M21" s="97"/>
      <c r="N21" s="97"/>
      <c r="O21" s="113">
        <f>+O18+O15</f>
        <v>11541.506849315068</v>
      </c>
      <c r="P21" s="110" t="s">
        <v>747</v>
      </c>
    </row>
    <row r="22" spans="2:16" ht="12.75" thickBot="1" x14ac:dyDescent="0.25">
      <c r="B22" s="114" t="s">
        <v>13</v>
      </c>
      <c r="C22" s="102"/>
      <c r="D22" s="102"/>
      <c r="E22" s="102"/>
      <c r="F22" s="102"/>
      <c r="G22" s="115">
        <f>+G19+G16</f>
        <v>8512.1643835616433</v>
      </c>
      <c r="H22" s="111" t="s">
        <v>747</v>
      </c>
      <c r="J22" s="114" t="s">
        <v>13</v>
      </c>
      <c r="K22" s="102"/>
      <c r="L22" s="102"/>
      <c r="M22" s="102"/>
      <c r="N22" s="102"/>
      <c r="O22" s="115">
        <f>+O19+O16</f>
        <v>8108.0547945205471</v>
      </c>
      <c r="P22" s="111" t="s">
        <v>747</v>
      </c>
    </row>
    <row r="23" spans="2:16" x14ac:dyDescent="0.2">
      <c r="G23" s="116"/>
      <c r="H23" s="117"/>
    </row>
    <row r="24" spans="2:16" ht="12.75" thickBot="1" x14ac:dyDescent="0.25">
      <c r="G24" s="116"/>
      <c r="H24" s="117"/>
    </row>
    <row r="25" spans="2:16" ht="12.75" thickBot="1" x14ac:dyDescent="0.25">
      <c r="B25" s="229" t="s">
        <v>745</v>
      </c>
      <c r="C25" s="230"/>
      <c r="D25" s="230"/>
      <c r="E25" s="230"/>
      <c r="F25" s="230"/>
      <c r="G25" s="230"/>
      <c r="H25" s="231"/>
    </row>
    <row r="26" spans="2:16" x14ac:dyDescent="0.2">
      <c r="B26" s="187" t="s">
        <v>746</v>
      </c>
      <c r="C26" s="188"/>
      <c r="D26" s="188"/>
      <c r="E26" s="188"/>
      <c r="F26" s="201" t="s">
        <v>1101</v>
      </c>
      <c r="G26" s="190">
        <f>G15</f>
        <v>8756.301369863013</v>
      </c>
      <c r="H26" s="110" t="s">
        <v>747</v>
      </c>
    </row>
    <row r="27" spans="2:16" x14ac:dyDescent="0.2">
      <c r="B27" s="98" t="s">
        <v>1090</v>
      </c>
      <c r="C27" s="99"/>
      <c r="D27" s="99"/>
      <c r="E27" s="238" t="s">
        <v>17</v>
      </c>
      <c r="F27" s="192">
        <v>0.46</v>
      </c>
      <c r="G27" s="191">
        <f>$G$26*F27</f>
        <v>4027.898630136986</v>
      </c>
      <c r="H27" s="189" t="s">
        <v>747</v>
      </c>
    </row>
    <row r="28" spans="2:16" x14ac:dyDescent="0.2">
      <c r="B28" s="98" t="s">
        <v>1091</v>
      </c>
      <c r="E28" s="96" t="s">
        <v>14</v>
      </c>
      <c r="F28" s="193">
        <v>0.26</v>
      </c>
      <c r="G28" s="191">
        <f>$G$26*F28</f>
        <v>2276.6383561643834</v>
      </c>
      <c r="H28" s="189" t="s">
        <v>747</v>
      </c>
    </row>
    <row r="29" spans="2:16" x14ac:dyDescent="0.2">
      <c r="B29" s="98" t="s">
        <v>1092</v>
      </c>
      <c r="E29" s="96" t="s">
        <v>15</v>
      </c>
      <c r="F29" s="193">
        <v>0.15</v>
      </c>
      <c r="G29" s="191">
        <f>$G$26*F29</f>
        <v>1313.4452054794519</v>
      </c>
      <c r="H29" s="189" t="s">
        <v>747</v>
      </c>
    </row>
    <row r="30" spans="2:16" ht="12.75" thickBot="1" x14ac:dyDescent="0.25">
      <c r="B30" s="106" t="s">
        <v>1093</v>
      </c>
      <c r="C30" s="102"/>
      <c r="D30" s="102"/>
      <c r="E30" s="102" t="s">
        <v>1094</v>
      </c>
      <c r="F30" s="194">
        <v>7.0000000000000007E-2</v>
      </c>
      <c r="G30" s="195">
        <f>$G$26*F30</f>
        <v>612.94109589041102</v>
      </c>
      <c r="H30" s="111" t="s">
        <v>747</v>
      </c>
    </row>
    <row r="32" spans="2:16" x14ac:dyDescent="0.2">
      <c r="B32" s="96" t="s">
        <v>1087</v>
      </c>
    </row>
    <row r="33" spans="2:2" ht="15" x14ac:dyDescent="0.25">
      <c r="B33" s="105" t="s">
        <v>742</v>
      </c>
    </row>
    <row r="34" spans="2:2" ht="15" x14ac:dyDescent="0.25">
      <c r="B34" s="105" t="s">
        <v>744</v>
      </c>
    </row>
  </sheetData>
  <mergeCells count="11">
    <mergeCell ref="B25:H25"/>
    <mergeCell ref="J2:P2"/>
    <mergeCell ref="J11:P11"/>
    <mergeCell ref="J14:P14"/>
    <mergeCell ref="J17:P17"/>
    <mergeCell ref="J20:P20"/>
    <mergeCell ref="B2:H2"/>
    <mergeCell ref="B11:H11"/>
    <mergeCell ref="B14:H14"/>
    <mergeCell ref="B17:H17"/>
    <mergeCell ref="B20:H20"/>
  </mergeCells>
  <hyperlinks>
    <hyperlink ref="B33" r:id="rId1" xr:uid="{2020DF7E-2447-4142-8C7C-BC942DF7A391}"/>
    <hyperlink ref="B34" r:id="rId2" xr:uid="{1B989659-57E3-4967-9767-5D5AADD759DF}"/>
  </hyperlink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44DA4-2A9D-4D30-A087-B30A90DDDFC5}">
  <dimension ref="C3:AJ387"/>
  <sheetViews>
    <sheetView showGridLines="0" tabSelected="1" zoomScale="130" zoomScaleNormal="130" workbookViewId="0">
      <pane xSplit="3" ySplit="4" topLeftCell="Q136" activePane="bottomRight" state="frozen"/>
      <selection pane="topRight" activeCell="D1" sqref="D1"/>
      <selection pane="bottomLeft" activeCell="A5" sqref="A5"/>
      <selection pane="bottomRight" activeCell="V147" sqref="V147"/>
    </sheetView>
  </sheetViews>
  <sheetFormatPr defaultColWidth="8.7109375" defaultRowHeight="12.75" outlineLevelRow="1" outlineLevelCol="1" x14ac:dyDescent="0.2"/>
  <cols>
    <col min="1" max="1" width="2.5703125" style="17" customWidth="1"/>
    <col min="2" max="2" width="2.7109375" style="17" customWidth="1"/>
    <col min="3" max="3" width="50.140625" style="17" customWidth="1"/>
    <col min="4" max="4" width="12.7109375" style="17" customWidth="1"/>
    <col min="5" max="5" width="14.85546875" style="20" customWidth="1"/>
    <col min="6" max="6" width="8.5703125" style="20" customWidth="1" outlineLevel="1"/>
    <col min="7" max="7" width="9.140625" style="20" customWidth="1" outlineLevel="1"/>
    <col min="8" max="8" width="11.42578125" style="20" customWidth="1" outlineLevel="1"/>
    <col min="9" max="9" width="8.5703125" style="20" customWidth="1" outlineLevel="1"/>
    <col min="10" max="10" width="8.5703125" style="20" customWidth="1"/>
    <col min="11" max="12" width="8.5703125" style="20" customWidth="1" outlineLevel="1"/>
    <col min="13" max="13" width="13.85546875" style="20" customWidth="1" outlineLevel="1"/>
    <col min="14" max="14" width="10.85546875" style="20" customWidth="1" outlineLevel="1"/>
    <col min="15" max="15" width="8.5703125" style="20" customWidth="1"/>
    <col min="16" max="18" width="8.5703125" style="20" customWidth="1" outlineLevel="1"/>
    <col min="19" max="19" width="10.5703125" style="20" customWidth="1" outlineLevel="1"/>
    <col min="20" max="20" width="10.5703125" style="20" customWidth="1"/>
    <col min="21" max="24" width="10.5703125" style="20" customWidth="1" outlineLevel="1"/>
    <col min="25" max="25" width="10.5703125" style="20" customWidth="1"/>
    <col min="26" max="26" width="13.7109375" style="20" hidden="1" customWidth="1" outlineLevel="1"/>
    <col min="27" max="29" width="10.5703125" style="20" hidden="1" customWidth="1" outlineLevel="1"/>
    <col min="30" max="30" width="10.5703125" style="20" customWidth="1" collapsed="1"/>
    <col min="31" max="34" width="10.5703125" style="20" customWidth="1"/>
    <col min="35" max="36" width="8.7109375" style="21"/>
    <col min="37" max="16384" width="8.7109375" style="17"/>
  </cols>
  <sheetData>
    <row r="3" spans="3:36" s="20" customFormat="1" ht="15" customHeight="1" thickBot="1" x14ac:dyDescent="0.25">
      <c r="C3" s="237" t="s">
        <v>96</v>
      </c>
      <c r="D3" s="24"/>
      <c r="E3" s="25" t="s">
        <v>100</v>
      </c>
      <c r="F3" s="234" t="s">
        <v>101</v>
      </c>
      <c r="G3" s="235"/>
      <c r="H3" s="235"/>
      <c r="I3" s="235"/>
      <c r="J3" s="236"/>
      <c r="K3" s="234" t="s">
        <v>102</v>
      </c>
      <c r="L3" s="235"/>
      <c r="M3" s="235"/>
      <c r="N3" s="235"/>
      <c r="O3" s="236"/>
      <c r="P3" s="234" t="s">
        <v>103</v>
      </c>
      <c r="Q3" s="235"/>
      <c r="R3" s="235"/>
      <c r="S3" s="235"/>
      <c r="T3" s="236"/>
      <c r="U3" s="234" t="s">
        <v>104</v>
      </c>
      <c r="V3" s="235"/>
      <c r="W3" s="235"/>
      <c r="X3" s="235"/>
      <c r="Y3" s="236"/>
      <c r="Z3" s="234" t="s">
        <v>105</v>
      </c>
      <c r="AA3" s="235"/>
      <c r="AB3" s="235"/>
      <c r="AC3" s="235"/>
      <c r="AD3" s="236"/>
      <c r="AI3" s="21"/>
      <c r="AJ3" s="21"/>
    </row>
    <row r="4" spans="3:36" s="20" customFormat="1" ht="13.5" thickBot="1" x14ac:dyDescent="0.25">
      <c r="C4" s="236"/>
      <c r="D4" s="24"/>
      <c r="E4" s="26" t="s">
        <v>97</v>
      </c>
      <c r="F4" s="27">
        <v>44256</v>
      </c>
      <c r="G4" s="27">
        <v>44348</v>
      </c>
      <c r="H4" s="27">
        <v>44440</v>
      </c>
      <c r="I4" s="27">
        <v>44531</v>
      </c>
      <c r="J4" s="26" t="s">
        <v>97</v>
      </c>
      <c r="K4" s="27">
        <v>44621</v>
      </c>
      <c r="L4" s="27">
        <v>44713</v>
      </c>
      <c r="M4" s="27">
        <v>44805</v>
      </c>
      <c r="N4" s="27">
        <v>44896</v>
      </c>
      <c r="O4" s="26" t="s">
        <v>97</v>
      </c>
      <c r="P4" s="27">
        <v>44986</v>
      </c>
      <c r="Q4" s="27">
        <v>45078</v>
      </c>
      <c r="R4" s="27">
        <v>45170</v>
      </c>
      <c r="S4" s="27">
        <v>45261</v>
      </c>
      <c r="T4" s="26" t="s">
        <v>97</v>
      </c>
      <c r="U4" s="27">
        <v>45352</v>
      </c>
      <c r="V4" s="27">
        <v>45444</v>
      </c>
      <c r="W4" s="27">
        <v>45536</v>
      </c>
      <c r="X4" s="27">
        <v>45627</v>
      </c>
      <c r="Y4" s="26" t="s">
        <v>97</v>
      </c>
      <c r="Z4" s="27">
        <v>45717</v>
      </c>
      <c r="AA4" s="27">
        <v>45809</v>
      </c>
      <c r="AB4" s="27">
        <v>45901</v>
      </c>
      <c r="AC4" s="27">
        <v>45992</v>
      </c>
      <c r="AD4" s="26" t="s">
        <v>97</v>
      </c>
      <c r="AE4" s="76"/>
      <c r="AF4" s="76"/>
      <c r="AG4" s="76"/>
      <c r="AH4" s="76"/>
      <c r="AI4" s="21"/>
      <c r="AJ4" s="21"/>
    </row>
    <row r="5" spans="3:36" s="20" customFormat="1" ht="5.0999999999999996" customHeight="1" x14ac:dyDescent="0.2">
      <c r="C5" s="28"/>
      <c r="D5" s="28"/>
      <c r="E5" s="29"/>
      <c r="F5" s="29"/>
      <c r="G5" s="29"/>
      <c r="H5" s="29"/>
      <c r="I5" s="29"/>
      <c r="J5" s="29"/>
      <c r="K5" s="29"/>
      <c r="L5" s="29"/>
      <c r="M5" s="29"/>
      <c r="N5" s="29"/>
      <c r="O5" s="29"/>
      <c r="P5" s="29"/>
      <c r="Q5" s="29"/>
      <c r="R5" s="29"/>
      <c r="S5" s="29"/>
      <c r="T5" s="29"/>
      <c r="U5" s="29"/>
      <c r="V5" s="29"/>
      <c r="W5" s="29"/>
      <c r="AI5" s="21"/>
      <c r="AJ5" s="21"/>
    </row>
    <row r="6" spans="3:36" s="20" customFormat="1" x14ac:dyDescent="0.2">
      <c r="C6" s="30" t="s">
        <v>98</v>
      </c>
      <c r="D6" s="30"/>
      <c r="E6" s="31"/>
      <c r="F6" s="31"/>
      <c r="G6" s="31"/>
      <c r="H6" s="31"/>
      <c r="I6" s="31"/>
      <c r="J6" s="31"/>
      <c r="K6" s="31"/>
      <c r="L6" s="31"/>
      <c r="M6" s="31"/>
      <c r="N6" s="31"/>
      <c r="O6" s="31"/>
      <c r="P6" s="31"/>
      <c r="Q6" s="31"/>
      <c r="R6" s="31"/>
      <c r="S6" s="31"/>
      <c r="T6" s="31"/>
      <c r="U6" s="31"/>
      <c r="V6" s="31"/>
      <c r="W6" s="31"/>
      <c r="X6" s="31"/>
      <c r="Y6" s="31"/>
      <c r="Z6" s="31"/>
      <c r="AA6" s="31"/>
      <c r="AB6" s="31"/>
      <c r="AC6" s="31"/>
      <c r="AD6" s="31"/>
      <c r="AI6" s="21"/>
      <c r="AJ6" s="21"/>
    </row>
    <row r="7" spans="3:36" s="20" customFormat="1" x14ac:dyDescent="0.2">
      <c r="C7" s="17" t="s">
        <v>808</v>
      </c>
      <c r="D7" s="17"/>
      <c r="E7" s="34"/>
      <c r="F7" s="34"/>
      <c r="G7" s="34"/>
      <c r="H7" s="34"/>
      <c r="I7" s="34"/>
      <c r="J7" s="34"/>
      <c r="K7" s="34"/>
      <c r="L7" s="34"/>
      <c r="M7" s="34"/>
      <c r="N7" s="34"/>
      <c r="O7" s="34">
        <v>1926.5509999999999</v>
      </c>
      <c r="P7" s="34"/>
      <c r="Q7" s="34"/>
      <c r="R7" s="34"/>
      <c r="S7" s="34"/>
      <c r="T7" s="34">
        <v>1915.472</v>
      </c>
      <c r="U7" s="34">
        <v>521.79200000000003</v>
      </c>
      <c r="V7" s="40"/>
      <c r="W7" s="40"/>
      <c r="X7" s="40"/>
      <c r="Y7" s="40">
        <f>SUM(U7:X7)</f>
        <v>521.79200000000003</v>
      </c>
      <c r="Z7" s="40"/>
      <c r="AA7" s="40"/>
      <c r="AB7" s="40"/>
      <c r="AC7" s="40"/>
      <c r="AD7" s="40"/>
      <c r="AF7" s="178"/>
      <c r="AI7" s="21"/>
      <c r="AJ7" s="21"/>
    </row>
    <row r="8" spans="3:36" s="20" customFormat="1" x14ac:dyDescent="0.2">
      <c r="C8" s="17" t="s">
        <v>811</v>
      </c>
      <c r="D8" s="17"/>
      <c r="E8" s="34"/>
      <c r="F8" s="34"/>
      <c r="G8" s="34"/>
      <c r="H8" s="34"/>
      <c r="I8" s="34"/>
      <c r="J8" s="34"/>
      <c r="K8" s="34"/>
      <c r="L8" s="34"/>
      <c r="M8" s="34"/>
      <c r="N8" s="34"/>
      <c r="O8" s="34">
        <v>-579.88499999999999</v>
      </c>
      <c r="P8" s="34"/>
      <c r="Q8" s="34"/>
      <c r="R8" s="34"/>
      <c r="S8" s="34"/>
      <c r="T8" s="34">
        <v>-548.86500000000001</v>
      </c>
      <c r="U8" s="34">
        <v>-142.99</v>
      </c>
      <c r="V8" s="40">
        <v>0</v>
      </c>
      <c r="W8" s="40">
        <v>0</v>
      </c>
      <c r="X8" s="40">
        <v>0</v>
      </c>
      <c r="Y8" s="40">
        <f t="shared" ref="Y8" si="0">SUM(U8:X8)</f>
        <v>-142.99</v>
      </c>
      <c r="Z8" s="40">
        <v>0</v>
      </c>
      <c r="AA8" s="40">
        <v>0</v>
      </c>
      <c r="AB8" s="40">
        <v>0</v>
      </c>
      <c r="AC8" s="40">
        <v>0</v>
      </c>
      <c r="AD8" s="40"/>
      <c r="AE8" s="199"/>
      <c r="AI8" s="21"/>
      <c r="AJ8" s="21"/>
    </row>
    <row r="9" spans="3:36" s="20" customFormat="1" x14ac:dyDescent="0.2">
      <c r="C9" s="17" t="s">
        <v>809</v>
      </c>
      <c r="D9" s="17"/>
      <c r="E9" s="34"/>
      <c r="F9" s="34"/>
      <c r="G9" s="34"/>
      <c r="H9" s="34"/>
      <c r="I9" s="34"/>
      <c r="J9" s="34"/>
      <c r="K9" s="34"/>
      <c r="L9" s="34"/>
      <c r="M9" s="34"/>
      <c r="N9" s="34"/>
      <c r="O9" s="34">
        <v>0</v>
      </c>
      <c r="P9" s="34"/>
      <c r="Q9" s="34"/>
      <c r="R9" s="34"/>
      <c r="S9" s="34"/>
      <c r="T9" s="34">
        <v>756.23400000000004</v>
      </c>
      <c r="U9" s="34">
        <v>263.101</v>
      </c>
      <c r="V9" s="40">
        <v>263.101</v>
      </c>
      <c r="W9" s="40">
        <v>263.101</v>
      </c>
      <c r="X9" s="40">
        <v>263.101</v>
      </c>
      <c r="Y9" s="40">
        <f>SUM(U9:X9)</f>
        <v>1052.404</v>
      </c>
      <c r="Z9" s="40"/>
      <c r="AA9" s="40"/>
      <c r="AB9" s="40"/>
      <c r="AC9" s="40"/>
      <c r="AD9" s="40"/>
      <c r="AE9" s="199"/>
      <c r="AI9" s="21"/>
      <c r="AJ9" s="21"/>
    </row>
    <row r="10" spans="3:36" s="20" customFormat="1" x14ac:dyDescent="0.2">
      <c r="C10" s="17" t="s">
        <v>812</v>
      </c>
      <c r="D10" s="17"/>
      <c r="E10" s="34"/>
      <c r="F10" s="34"/>
      <c r="G10" s="34"/>
      <c r="H10" s="34"/>
      <c r="I10" s="34"/>
      <c r="J10" s="34"/>
      <c r="K10" s="34"/>
      <c r="L10" s="34"/>
      <c r="M10" s="34"/>
      <c r="N10" s="34"/>
      <c r="O10" s="34">
        <v>0</v>
      </c>
      <c r="P10" s="34"/>
      <c r="Q10" s="34"/>
      <c r="R10" s="34"/>
      <c r="S10" s="34"/>
      <c r="T10" s="34">
        <v>-279.74900000000002</v>
      </c>
      <c r="U10" s="34">
        <v>-84.212999999999994</v>
      </c>
      <c r="V10" s="40">
        <f>U10</f>
        <v>-84.212999999999994</v>
      </c>
      <c r="W10" s="40">
        <f t="shared" ref="W10:X10" si="1">V10</f>
        <v>-84.212999999999994</v>
      </c>
      <c r="X10" s="40">
        <f t="shared" si="1"/>
        <v>-84.212999999999994</v>
      </c>
      <c r="Y10" s="40">
        <f>SUM(U10:X10)</f>
        <v>-336.85199999999998</v>
      </c>
      <c r="Z10" s="40"/>
      <c r="AA10" s="40"/>
      <c r="AB10" s="40"/>
      <c r="AC10" s="40"/>
      <c r="AD10" s="40"/>
      <c r="AE10" s="199"/>
      <c r="AI10" s="21"/>
      <c r="AJ10" s="21"/>
    </row>
    <row r="11" spans="3:36" s="20" customFormat="1" x14ac:dyDescent="0.2">
      <c r="C11" s="17" t="s">
        <v>813</v>
      </c>
      <c r="D11" s="17"/>
      <c r="E11" s="34"/>
      <c r="F11" s="34"/>
      <c r="G11" s="34"/>
      <c r="H11" s="34"/>
      <c r="I11" s="34"/>
      <c r="J11" s="34"/>
      <c r="K11" s="34"/>
      <c r="L11" s="34"/>
      <c r="M11" s="34"/>
      <c r="N11" s="34"/>
      <c r="O11" s="34">
        <v>0</v>
      </c>
      <c r="P11" s="34"/>
      <c r="Q11" s="34"/>
      <c r="R11" s="34"/>
      <c r="S11" s="34"/>
      <c r="T11" s="34">
        <v>-476.48500000000001</v>
      </c>
      <c r="U11" s="34">
        <v>-178.88800000000001</v>
      </c>
      <c r="V11" s="40">
        <f>U11</f>
        <v>-178.88800000000001</v>
      </c>
      <c r="W11" s="40">
        <f t="shared" ref="W11:X11" si="2">V11</f>
        <v>-178.88800000000001</v>
      </c>
      <c r="X11" s="40">
        <f t="shared" si="2"/>
        <v>-178.88800000000001</v>
      </c>
      <c r="Y11" s="40">
        <f>SUM(U11:X11)</f>
        <v>-715.55200000000002</v>
      </c>
      <c r="Z11" s="40"/>
      <c r="AA11" s="40"/>
      <c r="AB11" s="40"/>
      <c r="AC11" s="40"/>
      <c r="AD11" s="40"/>
      <c r="AE11" s="199"/>
      <c r="AI11" s="21"/>
      <c r="AJ11" s="21"/>
    </row>
    <row r="12" spans="3:36" s="20" customFormat="1" x14ac:dyDescent="0.2">
      <c r="C12" s="17" t="s">
        <v>1119</v>
      </c>
      <c r="D12" s="17"/>
      <c r="E12" s="34"/>
      <c r="F12" s="34"/>
      <c r="G12" s="34"/>
      <c r="H12" s="34"/>
      <c r="I12" s="34"/>
      <c r="J12" s="34"/>
      <c r="K12" s="34"/>
      <c r="L12" s="34"/>
      <c r="M12" s="34"/>
      <c r="N12" s="34"/>
      <c r="O12" s="34">
        <f>O9+O10+O11</f>
        <v>0</v>
      </c>
      <c r="P12" s="34"/>
      <c r="Q12" s="34"/>
      <c r="R12" s="34"/>
      <c r="S12" s="34"/>
      <c r="T12" s="34">
        <f>T9+T10+T11</f>
        <v>0</v>
      </c>
      <c r="U12" s="34">
        <f t="shared" ref="U12:AC12" si="3">U9+U10+U11</f>
        <v>0</v>
      </c>
      <c r="V12" s="40">
        <f t="shared" si="3"/>
        <v>0</v>
      </c>
      <c r="W12" s="40">
        <f t="shared" si="3"/>
        <v>0</v>
      </c>
      <c r="X12" s="40">
        <f t="shared" si="3"/>
        <v>0</v>
      </c>
      <c r="Y12" s="40">
        <f t="shared" si="3"/>
        <v>0</v>
      </c>
      <c r="Z12" s="34">
        <f t="shared" si="3"/>
        <v>0</v>
      </c>
      <c r="AA12" s="34">
        <f t="shared" si="3"/>
        <v>0</v>
      </c>
      <c r="AB12" s="34">
        <f t="shared" si="3"/>
        <v>0</v>
      </c>
      <c r="AC12" s="34">
        <f t="shared" si="3"/>
        <v>0</v>
      </c>
      <c r="AD12" s="40"/>
      <c r="AE12" s="199"/>
      <c r="AI12" s="21"/>
      <c r="AJ12" s="21"/>
    </row>
    <row r="13" spans="3:36" s="20" customFormat="1" x14ac:dyDescent="0.2">
      <c r="C13" s="32" t="s">
        <v>77</v>
      </c>
      <c r="D13" s="32"/>
      <c r="E13" s="33">
        <f t="shared" ref="E13:S13" si="4">SUM(E7:E9)</f>
        <v>0</v>
      </c>
      <c r="F13" s="33">
        <f t="shared" si="4"/>
        <v>0</v>
      </c>
      <c r="G13" s="33">
        <f t="shared" si="4"/>
        <v>0</v>
      </c>
      <c r="H13" s="33">
        <f t="shared" si="4"/>
        <v>0</v>
      </c>
      <c r="I13" s="33">
        <f t="shared" si="4"/>
        <v>0</v>
      </c>
      <c r="J13" s="33">
        <f t="shared" si="4"/>
        <v>0</v>
      </c>
      <c r="K13" s="33">
        <f t="shared" si="4"/>
        <v>0</v>
      </c>
      <c r="L13" s="33">
        <f t="shared" si="4"/>
        <v>0</v>
      </c>
      <c r="M13" s="33">
        <f t="shared" si="4"/>
        <v>0</v>
      </c>
      <c r="N13" s="33">
        <f t="shared" si="4"/>
        <v>0</v>
      </c>
      <c r="O13" s="33">
        <f t="shared" si="4"/>
        <v>1346.6659999999999</v>
      </c>
      <c r="P13" s="33">
        <f t="shared" si="4"/>
        <v>0</v>
      </c>
      <c r="Q13" s="33">
        <f t="shared" si="4"/>
        <v>0</v>
      </c>
      <c r="R13" s="33">
        <f t="shared" si="4"/>
        <v>0</v>
      </c>
      <c r="S13" s="33">
        <f t="shared" si="4"/>
        <v>0</v>
      </c>
      <c r="T13" s="33">
        <f>SUM(T7:T11)</f>
        <v>1366.607</v>
      </c>
      <c r="U13" s="33">
        <f>SUM(U7:U11)</f>
        <v>378.80200000000002</v>
      </c>
      <c r="V13" s="33">
        <f>SUM(V160:V361)/1000000*90*V141</f>
        <v>400.14240594598908</v>
      </c>
      <c r="W13" s="33">
        <f t="shared" ref="W13:X13" si="5">SUM(W160:W361)/1000000*90*W141</f>
        <v>335.95544485787633</v>
      </c>
      <c r="X13" s="33">
        <f t="shared" si="5"/>
        <v>477.27950635787727</v>
      </c>
      <c r="Y13" s="33">
        <f>SUM(U13:X13)</f>
        <v>1592.1793571617427</v>
      </c>
      <c r="Z13" s="33" t="e">
        <f>+SUM(#REF!)*#REF!*#REF!/1000000</f>
        <v>#REF!</v>
      </c>
      <c r="AA13" s="33" t="e">
        <f>+SUM(#REF!)*#REF!*#REF!/1000000</f>
        <v>#REF!</v>
      </c>
      <c r="AB13" s="33" t="e">
        <f>+SUM(#REF!)*#REF!*#REF!/1000000</f>
        <v>#REF!</v>
      </c>
      <c r="AC13" s="33" t="e">
        <f>+SUM(#REF!)*#REF!*#REF!/1000000</f>
        <v>#REF!</v>
      </c>
      <c r="AD13" s="33" t="e">
        <f>+AC13+AB13+AA13+Z13</f>
        <v>#REF!</v>
      </c>
      <c r="AE13" s="199"/>
      <c r="AF13" s="221"/>
      <c r="AI13" s="21"/>
      <c r="AJ13" s="21"/>
    </row>
    <row r="14" spans="3:36" s="20" customFormat="1" ht="5.0999999999999996" customHeight="1" x14ac:dyDescent="0.2">
      <c r="C14" s="18"/>
      <c r="D14" s="18"/>
      <c r="E14" s="35"/>
      <c r="F14" s="35"/>
      <c r="G14" s="35"/>
      <c r="H14" s="35"/>
      <c r="I14" s="35"/>
      <c r="J14" s="35"/>
      <c r="K14" s="35"/>
      <c r="L14" s="35"/>
      <c r="M14" s="35"/>
      <c r="N14" s="35"/>
      <c r="O14" s="35"/>
      <c r="P14" s="35"/>
      <c r="Q14" s="35"/>
      <c r="R14" s="35"/>
      <c r="S14" s="35"/>
      <c r="AE14" s="199"/>
      <c r="AI14" s="21"/>
      <c r="AJ14" s="21"/>
    </row>
    <row r="15" spans="3:36" s="20" customFormat="1" ht="4.5" customHeight="1" x14ac:dyDescent="0.2">
      <c r="C15" s="18"/>
      <c r="D15" s="18"/>
      <c r="E15" s="35"/>
      <c r="F15" s="35"/>
      <c r="G15" s="35"/>
      <c r="H15" s="35"/>
      <c r="I15" s="35"/>
      <c r="J15" s="35"/>
      <c r="K15" s="35"/>
      <c r="L15" s="35"/>
      <c r="M15" s="35"/>
      <c r="N15" s="35"/>
      <c r="O15" s="35"/>
      <c r="P15" s="35"/>
      <c r="Q15" s="35"/>
      <c r="R15" s="35"/>
      <c r="S15" s="35"/>
      <c r="AE15" s="199"/>
      <c r="AI15" s="21"/>
      <c r="AJ15" s="21"/>
    </row>
    <row r="16" spans="3:36" s="20" customFormat="1" x14ac:dyDescent="0.2">
      <c r="C16" s="17" t="s">
        <v>810</v>
      </c>
      <c r="D16" s="17"/>
      <c r="E16" s="34"/>
      <c r="F16" s="34"/>
      <c r="G16" s="34"/>
      <c r="H16" s="34"/>
      <c r="I16" s="34"/>
      <c r="J16" s="34"/>
      <c r="K16" s="34"/>
      <c r="L16" s="34"/>
      <c r="M16" s="34"/>
      <c r="N16" s="34"/>
      <c r="O16" s="34">
        <f>40.461</f>
        <v>40.460999999999999</v>
      </c>
      <c r="P16" s="34"/>
      <c r="Q16" s="34"/>
      <c r="R16" s="34"/>
      <c r="S16" s="34"/>
      <c r="T16" s="34">
        <v>44.984000000000002</v>
      </c>
      <c r="U16" s="34">
        <v>9.8239999999999998</v>
      </c>
      <c r="V16" s="40">
        <v>9.8239999999999998</v>
      </c>
      <c r="W16" s="40">
        <v>9.8239999999999998</v>
      </c>
      <c r="X16" s="40">
        <v>9.8239999999999998</v>
      </c>
      <c r="Y16" s="40">
        <f>SUM(U16:X16)</f>
        <v>39.295999999999999</v>
      </c>
      <c r="Z16" s="40"/>
      <c r="AA16" s="40"/>
      <c r="AB16" s="40"/>
      <c r="AC16" s="40"/>
      <c r="AD16" s="40"/>
      <c r="AE16" s="199"/>
      <c r="AI16" s="21"/>
      <c r="AJ16" s="21"/>
    </row>
    <row r="17" spans="3:36" s="20" customFormat="1" x14ac:dyDescent="0.2">
      <c r="C17" s="17" t="s">
        <v>814</v>
      </c>
      <c r="D17" s="17"/>
      <c r="E17" s="34"/>
      <c r="F17" s="34"/>
      <c r="G17" s="34"/>
      <c r="H17" s="34"/>
      <c r="I17" s="34"/>
      <c r="J17" s="34"/>
      <c r="K17" s="34"/>
      <c r="L17" s="34"/>
      <c r="M17" s="34"/>
      <c r="N17" s="34"/>
      <c r="O17" s="34">
        <v>-263.90300000000002</v>
      </c>
      <c r="P17" s="34"/>
      <c r="Q17" s="34"/>
      <c r="R17" s="34"/>
      <c r="S17" s="34"/>
      <c r="T17" s="34">
        <v>-268.86900000000003</v>
      </c>
      <c r="U17" s="34">
        <v>-69.629000000000005</v>
      </c>
      <c r="V17" s="40">
        <v>-69.629000000000005</v>
      </c>
      <c r="W17" s="40">
        <v>-69.629000000000005</v>
      </c>
      <c r="X17" s="40">
        <v>-69.629000000000005</v>
      </c>
      <c r="Y17" s="40">
        <f t="shared" ref="Y17:Y19" si="6">SUM(U17:X17)</f>
        <v>-278.51600000000002</v>
      </c>
      <c r="Z17" s="40"/>
      <c r="AA17" s="40"/>
      <c r="AB17" s="40"/>
      <c r="AC17" s="40"/>
      <c r="AD17" s="40"/>
      <c r="AE17" s="199"/>
      <c r="AI17" s="21"/>
      <c r="AJ17" s="21"/>
    </row>
    <row r="18" spans="3:36" s="20" customFormat="1" x14ac:dyDescent="0.2">
      <c r="C18" s="17" t="s">
        <v>208</v>
      </c>
      <c r="D18" s="17"/>
      <c r="E18" s="34"/>
      <c r="F18" s="34"/>
      <c r="G18" s="34"/>
      <c r="H18" s="34"/>
      <c r="I18" s="34"/>
      <c r="J18" s="34"/>
      <c r="K18" s="34"/>
      <c r="L18" s="34"/>
      <c r="M18" s="34"/>
      <c r="N18" s="34"/>
      <c r="O18" s="34">
        <v>-33.154000000000003</v>
      </c>
      <c r="P18" s="34"/>
      <c r="Q18" s="34"/>
      <c r="R18" s="34"/>
      <c r="S18" s="34"/>
      <c r="T18" s="34">
        <v>-34.570999999999998</v>
      </c>
      <c r="U18" s="34">
        <v>-9.5299999999999994</v>
      </c>
      <c r="V18" s="40">
        <v>-9.5299999999999994</v>
      </c>
      <c r="W18" s="40">
        <v>-9.5299999999999994</v>
      </c>
      <c r="X18" s="40">
        <v>-9.5299999999999994</v>
      </c>
      <c r="Y18" s="40">
        <f t="shared" si="6"/>
        <v>-38.119999999999997</v>
      </c>
      <c r="Z18" s="40"/>
      <c r="AA18" s="40"/>
      <c r="AB18" s="40"/>
      <c r="AC18" s="40"/>
      <c r="AD18" s="40"/>
      <c r="AE18" s="199"/>
      <c r="AI18" s="21"/>
      <c r="AJ18" s="21"/>
    </row>
    <row r="19" spans="3:36" s="20" customFormat="1" x14ac:dyDescent="0.2">
      <c r="C19" s="17" t="s">
        <v>815</v>
      </c>
      <c r="D19" s="17"/>
      <c r="E19" s="34"/>
      <c r="F19" s="34"/>
      <c r="G19" s="34"/>
      <c r="H19" s="34"/>
      <c r="I19" s="34"/>
      <c r="J19" s="34"/>
      <c r="K19" s="34"/>
      <c r="L19" s="34"/>
      <c r="M19" s="34"/>
      <c r="N19" s="34"/>
      <c r="O19" s="34">
        <f>-23.627-59.524</f>
        <v>-83.150999999999996</v>
      </c>
      <c r="P19" s="34"/>
      <c r="Q19" s="34"/>
      <c r="R19" s="34"/>
      <c r="S19" s="34"/>
      <c r="T19" s="34">
        <f>-25.692-69.571</f>
        <v>-95.263000000000005</v>
      </c>
      <c r="U19" s="34">
        <f>-5.719-16.696</f>
        <v>-22.415000000000003</v>
      </c>
      <c r="V19" s="40">
        <v>-22.415000000000003</v>
      </c>
      <c r="W19" s="40">
        <v>-22.415000000000003</v>
      </c>
      <c r="X19" s="40">
        <v>-22.415000000000003</v>
      </c>
      <c r="Y19" s="40">
        <f t="shared" si="6"/>
        <v>-89.660000000000011</v>
      </c>
      <c r="Z19" s="40"/>
      <c r="AA19" s="40"/>
      <c r="AB19" s="40"/>
      <c r="AC19" s="40"/>
      <c r="AD19" s="40"/>
      <c r="AE19" s="199"/>
      <c r="AI19" s="21"/>
      <c r="AJ19" s="21"/>
    </row>
    <row r="20" spans="3:36" s="20" customFormat="1" x14ac:dyDescent="0.2">
      <c r="C20" s="32" t="s">
        <v>82</v>
      </c>
      <c r="D20" s="32"/>
      <c r="E20" s="33">
        <f t="shared" ref="E20:N20" si="7">+E13+SUM(E10:E19)</f>
        <v>0</v>
      </c>
      <c r="F20" s="33">
        <f t="shared" si="7"/>
        <v>0</v>
      </c>
      <c r="G20" s="33">
        <f t="shared" si="7"/>
        <v>0</v>
      </c>
      <c r="H20" s="33">
        <f t="shared" si="7"/>
        <v>0</v>
      </c>
      <c r="I20" s="33">
        <f t="shared" si="7"/>
        <v>0</v>
      </c>
      <c r="J20" s="33">
        <f t="shared" si="7"/>
        <v>0</v>
      </c>
      <c r="K20" s="33">
        <f t="shared" si="7"/>
        <v>0</v>
      </c>
      <c r="L20" s="33">
        <f t="shared" si="7"/>
        <v>0</v>
      </c>
      <c r="M20" s="33">
        <f t="shared" si="7"/>
        <v>0</v>
      </c>
      <c r="N20" s="33">
        <f t="shared" si="7"/>
        <v>0</v>
      </c>
      <c r="O20" s="33">
        <f t="shared" ref="O20:AC20" si="8">+O13+SUM(O16:O19)</f>
        <v>1006.9189999999999</v>
      </c>
      <c r="P20" s="33">
        <f t="shared" si="8"/>
        <v>0</v>
      </c>
      <c r="Q20" s="33">
        <f t="shared" si="8"/>
        <v>0</v>
      </c>
      <c r="R20" s="33">
        <f t="shared" si="8"/>
        <v>0</v>
      </c>
      <c r="S20" s="33">
        <f t="shared" si="8"/>
        <v>0</v>
      </c>
      <c r="T20" s="33">
        <f t="shared" si="8"/>
        <v>1012.8879999999999</v>
      </c>
      <c r="U20" s="33">
        <f t="shared" si="8"/>
        <v>287.05200000000002</v>
      </c>
      <c r="V20" s="33">
        <f t="shared" si="8"/>
        <v>308.39240594598908</v>
      </c>
      <c r="W20" s="33">
        <f t="shared" si="8"/>
        <v>244.20544485787633</v>
      </c>
      <c r="X20" s="33">
        <f t="shared" si="8"/>
        <v>385.52950635787727</v>
      </c>
      <c r="Y20" s="33">
        <f t="shared" si="8"/>
        <v>1225.1793571617427</v>
      </c>
      <c r="Z20" s="33" t="e">
        <f t="shared" si="8"/>
        <v>#REF!</v>
      </c>
      <c r="AA20" s="33" t="e">
        <f t="shared" si="8"/>
        <v>#REF!</v>
      </c>
      <c r="AB20" s="33" t="e">
        <f t="shared" si="8"/>
        <v>#REF!</v>
      </c>
      <c r="AC20" s="33" t="e">
        <f t="shared" si="8"/>
        <v>#REF!</v>
      </c>
      <c r="AD20" s="33" t="e">
        <f>+AD13+SUM(AD10:AD19)</f>
        <v>#REF!</v>
      </c>
      <c r="AE20" s="199"/>
      <c r="AI20" s="21"/>
      <c r="AJ20" s="21"/>
    </row>
    <row r="21" spans="3:36" ht="5.0999999999999996" customHeight="1" x14ac:dyDescent="0.2">
      <c r="C21" s="18"/>
      <c r="D21" s="18"/>
      <c r="E21" s="35"/>
      <c r="F21" s="35"/>
      <c r="G21" s="35"/>
      <c r="H21" s="35"/>
      <c r="I21" s="35"/>
      <c r="J21" s="35"/>
      <c r="K21" s="35"/>
      <c r="L21" s="35"/>
      <c r="M21" s="35"/>
      <c r="N21" s="35"/>
      <c r="O21" s="35"/>
      <c r="P21" s="35"/>
      <c r="Q21" s="35"/>
      <c r="R21" s="35"/>
      <c r="S21" s="35"/>
      <c r="AE21" s="199"/>
    </row>
    <row r="22" spans="3:36" s="19" customFormat="1" x14ac:dyDescent="0.2">
      <c r="C22" s="19" t="s">
        <v>83</v>
      </c>
      <c r="E22" s="36"/>
      <c r="F22" s="36"/>
      <c r="G22" s="36"/>
      <c r="H22" s="36"/>
      <c r="I22" s="36"/>
      <c r="J22" s="36"/>
      <c r="K22" s="36"/>
      <c r="L22" s="36"/>
      <c r="M22" s="36"/>
      <c r="N22" s="36"/>
      <c r="O22" s="36">
        <f>-207.989-1.23</f>
        <v>-209.21899999999999</v>
      </c>
      <c r="P22" s="36"/>
      <c r="Q22" s="36"/>
      <c r="R22" s="36"/>
      <c r="S22" s="36"/>
      <c r="T22" s="36">
        <f>-209.727-1.3</f>
        <v>-211.02700000000002</v>
      </c>
      <c r="U22" s="34">
        <f>-53.793-0.336</f>
        <v>-54.128999999999998</v>
      </c>
      <c r="V22" s="40">
        <v>-54.1</v>
      </c>
      <c r="W22" s="40">
        <v>-54.1</v>
      </c>
      <c r="X22" s="40">
        <v>-54.1</v>
      </c>
      <c r="Y22" s="40">
        <f t="shared" ref="Y22:Y30" si="9">SUM(U22:X22)</f>
        <v>-216.429</v>
      </c>
      <c r="Z22" s="40"/>
      <c r="AA22" s="40"/>
      <c r="AB22" s="40"/>
      <c r="AC22" s="40"/>
      <c r="AD22" s="40"/>
      <c r="AE22" s="199"/>
      <c r="AF22" s="22"/>
      <c r="AG22" s="22"/>
      <c r="AH22" s="22"/>
      <c r="AI22" s="23"/>
      <c r="AJ22" s="23"/>
    </row>
    <row r="23" spans="3:36" x14ac:dyDescent="0.2">
      <c r="C23" s="17" t="s">
        <v>816</v>
      </c>
      <c r="E23" s="34"/>
      <c r="F23" s="34"/>
      <c r="G23" s="34"/>
      <c r="H23" s="34"/>
      <c r="I23" s="34"/>
      <c r="J23" s="34"/>
      <c r="K23" s="34"/>
      <c r="L23" s="34"/>
      <c r="M23" s="34"/>
      <c r="N23" s="34"/>
      <c r="O23" s="34">
        <v>25.483000000000001</v>
      </c>
      <c r="P23" s="34"/>
      <c r="Q23" s="34"/>
      <c r="R23" s="34"/>
      <c r="S23" s="34"/>
      <c r="T23" s="34">
        <v>56.087000000000003</v>
      </c>
      <c r="U23" s="34">
        <v>0</v>
      </c>
      <c r="V23" s="40">
        <v>0</v>
      </c>
      <c r="W23" s="40">
        <v>0</v>
      </c>
      <c r="X23" s="40">
        <v>0</v>
      </c>
      <c r="Y23" s="40">
        <f t="shared" si="9"/>
        <v>0</v>
      </c>
      <c r="Z23" s="40"/>
      <c r="AA23" s="40"/>
      <c r="AB23" s="40"/>
      <c r="AC23" s="40"/>
      <c r="AD23" s="40"/>
      <c r="AE23" s="199"/>
    </row>
    <row r="24" spans="3:36" x14ac:dyDescent="0.2">
      <c r="C24" s="17" t="s">
        <v>85</v>
      </c>
      <c r="E24" s="34"/>
      <c r="F24" s="34"/>
      <c r="G24" s="34"/>
      <c r="H24" s="34"/>
      <c r="I24" s="34"/>
      <c r="J24" s="34"/>
      <c r="K24" s="34"/>
      <c r="L24" s="34"/>
      <c r="M24" s="34"/>
      <c r="N24" s="34"/>
      <c r="O24" s="34">
        <v>6.9770000000000003</v>
      </c>
      <c r="P24" s="34"/>
      <c r="Q24" s="34"/>
      <c r="R24" s="34"/>
      <c r="S24" s="34"/>
      <c r="T24" s="34">
        <v>17.629000000000001</v>
      </c>
      <c r="U24" s="34">
        <v>2.8050000000000002</v>
      </c>
      <c r="V24" s="40">
        <v>0</v>
      </c>
      <c r="W24" s="40">
        <v>0</v>
      </c>
      <c r="X24" s="40">
        <v>0</v>
      </c>
      <c r="Y24" s="40">
        <f t="shared" si="9"/>
        <v>2.8050000000000002</v>
      </c>
      <c r="Z24" s="40"/>
      <c r="AA24" s="40"/>
      <c r="AB24" s="40"/>
      <c r="AC24" s="40"/>
      <c r="AD24" s="40"/>
      <c r="AE24" s="199"/>
    </row>
    <row r="25" spans="3:36" x14ac:dyDescent="0.2">
      <c r="C25" s="17" t="s">
        <v>215</v>
      </c>
      <c r="E25" s="34"/>
      <c r="F25" s="34"/>
      <c r="G25" s="34"/>
      <c r="H25" s="34"/>
      <c r="I25" s="34"/>
      <c r="J25" s="34"/>
      <c r="K25" s="34"/>
      <c r="L25" s="34"/>
      <c r="M25" s="34"/>
      <c r="N25" s="34"/>
      <c r="O25" s="34">
        <v>-91.093999999999994</v>
      </c>
      <c r="P25" s="34"/>
      <c r="Q25" s="34"/>
      <c r="R25" s="34"/>
      <c r="S25" s="34"/>
      <c r="T25" s="34">
        <v>-77.385000000000005</v>
      </c>
      <c r="U25" s="34">
        <v>-15.827</v>
      </c>
      <c r="V25" s="40">
        <v>-15.8</v>
      </c>
      <c r="W25" s="40">
        <v>-15.8</v>
      </c>
      <c r="X25" s="40">
        <v>-15.8</v>
      </c>
      <c r="Y25" s="40">
        <f t="shared" si="9"/>
        <v>-63.227000000000004</v>
      </c>
      <c r="Z25" s="40"/>
      <c r="AA25" s="40"/>
      <c r="AB25" s="40"/>
      <c r="AC25" s="40"/>
      <c r="AD25" s="40"/>
      <c r="AE25" s="199"/>
    </row>
    <row r="26" spans="3:36" x14ac:dyDescent="0.2">
      <c r="C26" s="17" t="s">
        <v>817</v>
      </c>
      <c r="E26" s="34"/>
      <c r="F26" s="34"/>
      <c r="G26" s="34"/>
      <c r="H26" s="34"/>
      <c r="I26" s="34"/>
      <c r="J26" s="34"/>
      <c r="K26" s="34"/>
      <c r="L26" s="34"/>
      <c r="M26" s="34"/>
      <c r="N26" s="34"/>
      <c r="O26" s="34">
        <v>-2.4649999999999999</v>
      </c>
      <c r="P26" s="34"/>
      <c r="Q26" s="34"/>
      <c r="R26" s="34"/>
      <c r="S26" s="34"/>
      <c r="T26" s="34">
        <v>-5.8940000000000001</v>
      </c>
      <c r="U26" s="34">
        <v>-1.663</v>
      </c>
      <c r="V26" s="40">
        <v>0</v>
      </c>
      <c r="W26" s="40">
        <v>0</v>
      </c>
      <c r="X26" s="40">
        <v>0</v>
      </c>
      <c r="Y26" s="40">
        <f t="shared" si="9"/>
        <v>-1.663</v>
      </c>
      <c r="Z26" s="40"/>
      <c r="AA26" s="40"/>
      <c r="AB26" s="40"/>
      <c r="AC26" s="40"/>
      <c r="AD26" s="40"/>
      <c r="AE26" s="199"/>
    </row>
    <row r="27" spans="3:36" x14ac:dyDescent="0.2">
      <c r="C27" s="17" t="s">
        <v>818</v>
      </c>
      <c r="E27" s="34"/>
      <c r="F27" s="34"/>
      <c r="G27" s="34"/>
      <c r="H27" s="34"/>
      <c r="I27" s="34"/>
      <c r="J27" s="34"/>
      <c r="K27" s="34"/>
      <c r="L27" s="34"/>
      <c r="M27" s="34"/>
      <c r="N27" s="34"/>
      <c r="O27" s="34">
        <v>-2.516</v>
      </c>
      <c r="P27" s="34"/>
      <c r="Q27" s="34"/>
      <c r="R27" s="34"/>
      <c r="S27" s="34"/>
      <c r="T27" s="34">
        <v>-11.845000000000001</v>
      </c>
      <c r="U27" s="34">
        <v>-4.2130000000000001</v>
      </c>
      <c r="V27" s="40">
        <v>0</v>
      </c>
      <c r="W27" s="40">
        <v>0</v>
      </c>
      <c r="X27" s="40">
        <v>0</v>
      </c>
      <c r="Y27" s="40">
        <f t="shared" si="9"/>
        <v>-4.2130000000000001</v>
      </c>
      <c r="Z27" s="40"/>
      <c r="AA27" s="40"/>
      <c r="AB27" s="40"/>
      <c r="AC27" s="40"/>
      <c r="AD27" s="40"/>
      <c r="AE27" s="199"/>
    </row>
    <row r="28" spans="3:36" x14ac:dyDescent="0.2">
      <c r="C28" s="17" t="s">
        <v>819</v>
      </c>
      <c r="E28" s="34"/>
      <c r="F28" s="34"/>
      <c r="G28" s="34"/>
      <c r="H28" s="34"/>
      <c r="I28" s="34"/>
      <c r="J28" s="34"/>
      <c r="K28" s="34"/>
      <c r="L28" s="34"/>
      <c r="M28" s="34"/>
      <c r="N28" s="34"/>
      <c r="O28" s="34">
        <v>24.152000000000001</v>
      </c>
      <c r="P28" s="34"/>
      <c r="Q28" s="34"/>
      <c r="R28" s="34"/>
      <c r="S28" s="34"/>
      <c r="T28" s="34">
        <v>19.073</v>
      </c>
      <c r="U28" s="34">
        <v>7.2889999999999997</v>
      </c>
      <c r="V28" s="40">
        <v>0</v>
      </c>
      <c r="W28" s="40">
        <v>0</v>
      </c>
      <c r="X28" s="40">
        <v>0</v>
      </c>
      <c r="Y28" s="40">
        <f t="shared" si="9"/>
        <v>7.2889999999999997</v>
      </c>
      <c r="Z28" s="40"/>
      <c r="AA28" s="40"/>
      <c r="AB28" s="40"/>
      <c r="AC28" s="40"/>
      <c r="AD28" s="40"/>
      <c r="AE28" s="199"/>
    </row>
    <row r="29" spans="3:36" x14ac:dyDescent="0.2">
      <c r="C29" s="17" t="s">
        <v>91</v>
      </c>
      <c r="E29" s="34"/>
      <c r="F29" s="34"/>
      <c r="G29" s="34"/>
      <c r="H29" s="34"/>
      <c r="I29" s="34"/>
      <c r="J29" s="34"/>
      <c r="K29" s="34"/>
      <c r="L29" s="34"/>
      <c r="M29" s="34"/>
      <c r="N29" s="34"/>
      <c r="O29" s="34">
        <v>-6.6779999999999999</v>
      </c>
      <c r="P29" s="34"/>
      <c r="Q29" s="34"/>
      <c r="R29" s="34"/>
      <c r="S29" s="34"/>
      <c r="T29" s="34">
        <v>-6.2510000000000003</v>
      </c>
      <c r="U29" s="34">
        <v>-1.7430000000000001</v>
      </c>
      <c r="V29" s="40">
        <v>-1.7430000000000001</v>
      </c>
      <c r="W29" s="40">
        <v>-1.7430000000000001</v>
      </c>
      <c r="X29" s="40">
        <v>-1.7430000000000001</v>
      </c>
      <c r="Y29" s="40">
        <f t="shared" si="9"/>
        <v>-6.9720000000000004</v>
      </c>
      <c r="Z29" s="40"/>
      <c r="AA29" s="40"/>
      <c r="AB29" s="40"/>
      <c r="AC29" s="40"/>
      <c r="AD29" s="40"/>
      <c r="AE29" s="199"/>
    </row>
    <row r="30" spans="3:36" x14ac:dyDescent="0.2">
      <c r="E30" s="34"/>
      <c r="F30" s="34"/>
      <c r="G30" s="34"/>
      <c r="H30" s="34"/>
      <c r="I30" s="34"/>
      <c r="J30" s="34"/>
      <c r="K30" s="34"/>
      <c r="L30" s="34"/>
      <c r="M30" s="34"/>
      <c r="N30" s="34"/>
      <c r="O30" s="34"/>
      <c r="P30" s="34"/>
      <c r="Q30" s="34"/>
      <c r="R30" s="34"/>
      <c r="S30" s="34"/>
      <c r="T30" s="34"/>
      <c r="U30" s="34">
        <f>T30/4</f>
        <v>0</v>
      </c>
      <c r="V30" s="40"/>
      <c r="W30" s="40"/>
      <c r="X30" s="40"/>
      <c r="Y30" s="40">
        <f t="shared" si="9"/>
        <v>0</v>
      </c>
      <c r="Z30" s="40"/>
      <c r="AA30" s="40"/>
      <c r="AB30" s="40"/>
      <c r="AC30" s="40"/>
      <c r="AD30" s="40"/>
      <c r="AE30" s="199"/>
    </row>
    <row r="31" spans="3:36" x14ac:dyDescent="0.2">
      <c r="C31" s="32" t="s">
        <v>92</v>
      </c>
      <c r="D31" s="32"/>
      <c r="E31" s="33">
        <f t="shared" ref="E31:AD31" si="10">+SUM(E20,E22:E30)</f>
        <v>0</v>
      </c>
      <c r="F31" s="33">
        <f t="shared" si="10"/>
        <v>0</v>
      </c>
      <c r="G31" s="33">
        <f t="shared" si="10"/>
        <v>0</v>
      </c>
      <c r="H31" s="33">
        <f t="shared" si="10"/>
        <v>0</v>
      </c>
      <c r="I31" s="33">
        <f t="shared" si="10"/>
        <v>0</v>
      </c>
      <c r="J31" s="33">
        <f t="shared" si="10"/>
        <v>0</v>
      </c>
      <c r="K31" s="33">
        <f t="shared" si="10"/>
        <v>0</v>
      </c>
      <c r="L31" s="33">
        <f t="shared" si="10"/>
        <v>0</v>
      </c>
      <c r="M31" s="33">
        <f t="shared" si="10"/>
        <v>0</v>
      </c>
      <c r="N31" s="33">
        <f t="shared" si="10"/>
        <v>0</v>
      </c>
      <c r="O31" s="33">
        <f t="shared" si="10"/>
        <v>751.55899999999986</v>
      </c>
      <c r="P31" s="33">
        <f t="shared" si="10"/>
        <v>0</v>
      </c>
      <c r="Q31" s="33">
        <f t="shared" si="10"/>
        <v>0</v>
      </c>
      <c r="R31" s="33">
        <f t="shared" si="10"/>
        <v>0</v>
      </c>
      <c r="S31" s="33">
        <f t="shared" si="10"/>
        <v>0</v>
      </c>
      <c r="T31" s="33">
        <f t="shared" si="10"/>
        <v>793.27499999999986</v>
      </c>
      <c r="U31" s="33">
        <f t="shared" si="10"/>
        <v>219.57100000000003</v>
      </c>
      <c r="V31" s="33">
        <f t="shared" si="10"/>
        <v>236.74940594598908</v>
      </c>
      <c r="W31" s="33">
        <f t="shared" si="10"/>
        <v>172.56244485787633</v>
      </c>
      <c r="X31" s="33">
        <f t="shared" si="10"/>
        <v>313.88650635787724</v>
      </c>
      <c r="Y31" s="33">
        <f>+SUM(Y20,Y22:Y30)</f>
        <v>942.76935716174273</v>
      </c>
      <c r="Z31" s="33" t="e">
        <f t="shared" si="10"/>
        <v>#REF!</v>
      </c>
      <c r="AA31" s="33" t="e">
        <f t="shared" si="10"/>
        <v>#REF!</v>
      </c>
      <c r="AB31" s="33" t="e">
        <f t="shared" si="10"/>
        <v>#REF!</v>
      </c>
      <c r="AC31" s="33" t="e">
        <f t="shared" si="10"/>
        <v>#REF!</v>
      </c>
      <c r="AD31" s="33" t="e">
        <f t="shared" si="10"/>
        <v>#REF!</v>
      </c>
      <c r="AE31" s="199"/>
    </row>
    <row r="32" spans="3:36" ht="5.0999999999999996" customHeight="1" x14ac:dyDescent="0.2">
      <c r="E32" s="37"/>
      <c r="F32" s="37"/>
      <c r="G32" s="37"/>
      <c r="H32" s="37"/>
      <c r="I32" s="37"/>
      <c r="J32" s="37"/>
      <c r="K32" s="37"/>
      <c r="L32" s="37"/>
      <c r="M32" s="37"/>
      <c r="N32" s="37"/>
      <c r="O32" s="37"/>
      <c r="P32" s="37"/>
      <c r="Q32" s="37"/>
      <c r="R32" s="37"/>
      <c r="AE32" s="199"/>
    </row>
    <row r="33" spans="3:36" x14ac:dyDescent="0.2">
      <c r="C33" s="17" t="s">
        <v>820</v>
      </c>
      <c r="E33" s="36"/>
      <c r="F33" s="36"/>
      <c r="G33" s="36"/>
      <c r="H33" s="36"/>
      <c r="I33" s="36"/>
      <c r="J33" s="36"/>
      <c r="K33" s="36"/>
      <c r="L33" s="36"/>
      <c r="M33" s="36"/>
      <c r="N33" s="36"/>
      <c r="O33" s="36">
        <v>6.6779999999999999</v>
      </c>
      <c r="P33" s="36"/>
      <c r="Q33" s="36"/>
      <c r="R33" s="36"/>
      <c r="S33" s="34"/>
      <c r="T33" s="34">
        <v>6.2510000000000003</v>
      </c>
      <c r="U33" s="34">
        <v>1.7430000000000001</v>
      </c>
      <c r="V33" s="40">
        <v>0</v>
      </c>
      <c r="W33" s="40">
        <v>0</v>
      </c>
      <c r="X33" s="40">
        <v>0</v>
      </c>
      <c r="Y33" s="40">
        <f t="shared" ref="Y33:Y46" si="11">SUM(U33:X33)</f>
        <v>1.7430000000000001</v>
      </c>
      <c r="Z33" s="40"/>
      <c r="AA33" s="40"/>
      <c r="AB33" s="40"/>
      <c r="AC33" s="40"/>
      <c r="AD33" s="40"/>
      <c r="AE33" s="199"/>
    </row>
    <row r="34" spans="3:36" ht="12.95" customHeight="1" x14ac:dyDescent="0.2">
      <c r="C34" s="17" t="s">
        <v>83</v>
      </c>
      <c r="E34" s="36"/>
      <c r="F34" s="36"/>
      <c r="G34" s="36"/>
      <c r="H34" s="36"/>
      <c r="I34" s="36"/>
      <c r="J34" s="36"/>
      <c r="K34" s="36"/>
      <c r="L34" s="36"/>
      <c r="M34" s="36"/>
      <c r="N34" s="36"/>
      <c r="O34" s="180">
        <v>209.21899999999999</v>
      </c>
      <c r="P34" s="36"/>
      <c r="Q34" s="36"/>
      <c r="R34" s="36"/>
      <c r="S34" s="34"/>
      <c r="T34" s="34">
        <v>211.02699999999999</v>
      </c>
      <c r="U34" s="34">
        <v>54.128999999999998</v>
      </c>
      <c r="V34" s="130">
        <f>-V22</f>
        <v>54.1</v>
      </c>
      <c r="W34" s="130">
        <f>-W22</f>
        <v>54.1</v>
      </c>
      <c r="X34" s="130">
        <f>-X22</f>
        <v>54.1</v>
      </c>
      <c r="Y34" s="40">
        <f>SUM(U34:X34)</f>
        <v>216.429</v>
      </c>
      <c r="Z34" s="40"/>
      <c r="AA34" s="40"/>
      <c r="AB34" s="40"/>
      <c r="AC34" s="40"/>
      <c r="AD34" s="40"/>
      <c r="AE34" s="199"/>
    </row>
    <row r="35" spans="3:36" x14ac:dyDescent="0.2">
      <c r="C35" s="17" t="s">
        <v>821</v>
      </c>
      <c r="E35" s="36"/>
      <c r="F35" s="36"/>
      <c r="G35" s="36"/>
      <c r="H35" s="36"/>
      <c r="I35" s="36"/>
      <c r="J35" s="36"/>
      <c r="K35" s="36"/>
      <c r="L35" s="36"/>
      <c r="M35" s="36"/>
      <c r="N35" s="36"/>
      <c r="O35" s="36">
        <v>-25.483000000000001</v>
      </c>
      <c r="P35" s="36"/>
      <c r="Q35" s="36"/>
      <c r="R35" s="36"/>
      <c r="S35" s="34"/>
      <c r="T35" s="34">
        <v>-56.087000000000003</v>
      </c>
      <c r="U35" s="34">
        <v>0</v>
      </c>
      <c r="V35" s="40">
        <v>0</v>
      </c>
      <c r="W35" s="40">
        <v>0</v>
      </c>
      <c r="X35" s="40">
        <v>0</v>
      </c>
      <c r="Y35" s="40">
        <f t="shared" si="11"/>
        <v>0</v>
      </c>
      <c r="Z35" s="40"/>
      <c r="AA35" s="40"/>
      <c r="AB35" s="40"/>
      <c r="AC35" s="40"/>
      <c r="AD35" s="40"/>
      <c r="AE35" s="199"/>
    </row>
    <row r="36" spans="3:36" x14ac:dyDescent="0.2">
      <c r="C36" s="17" t="s">
        <v>822</v>
      </c>
      <c r="E36" s="36"/>
      <c r="F36" s="36"/>
      <c r="G36" s="36"/>
      <c r="H36" s="36"/>
      <c r="I36" s="36"/>
      <c r="J36" s="36"/>
      <c r="K36" s="36"/>
      <c r="L36" s="36"/>
      <c r="M36" s="36"/>
      <c r="N36" s="36"/>
      <c r="O36" s="36">
        <v>-6.9770000000000003</v>
      </c>
      <c r="P36" s="36"/>
      <c r="Q36" s="36"/>
      <c r="R36" s="36"/>
      <c r="S36" s="34"/>
      <c r="T36" s="34">
        <v>-17.629000000000001</v>
      </c>
      <c r="U36" s="34">
        <v>-2.8050000000000002</v>
      </c>
      <c r="V36" s="40">
        <v>0</v>
      </c>
      <c r="W36" s="40">
        <v>0</v>
      </c>
      <c r="X36" s="40">
        <v>0</v>
      </c>
      <c r="Y36" s="40">
        <f t="shared" si="11"/>
        <v>-2.8050000000000002</v>
      </c>
      <c r="Z36" s="40"/>
      <c r="AA36" s="40"/>
      <c r="AB36" s="40"/>
      <c r="AC36" s="40"/>
      <c r="AD36" s="40"/>
      <c r="AE36" s="199"/>
    </row>
    <row r="37" spans="3:36" s="20" customFormat="1" x14ac:dyDescent="0.2">
      <c r="C37" s="17" t="s">
        <v>823</v>
      </c>
      <c r="D37" s="17"/>
      <c r="E37" s="36"/>
      <c r="F37" s="36"/>
      <c r="G37" s="36"/>
      <c r="H37" s="36"/>
      <c r="I37" s="36"/>
      <c r="J37" s="36"/>
      <c r="K37" s="36"/>
      <c r="L37" s="36"/>
      <c r="M37" s="36"/>
      <c r="N37" s="36"/>
      <c r="O37" s="36">
        <v>96.075000000000003</v>
      </c>
      <c r="P37" s="36"/>
      <c r="Q37" s="36"/>
      <c r="R37" s="36"/>
      <c r="S37" s="34"/>
      <c r="T37" s="34">
        <v>95.123999999999995</v>
      </c>
      <c r="U37" s="34">
        <v>17.489999999999998</v>
      </c>
      <c r="V37" s="40">
        <v>0</v>
      </c>
      <c r="W37" s="40">
        <v>0</v>
      </c>
      <c r="X37" s="40">
        <v>0</v>
      </c>
      <c r="Y37" s="40">
        <f t="shared" si="11"/>
        <v>17.489999999999998</v>
      </c>
      <c r="Z37" s="40"/>
      <c r="AA37" s="40"/>
      <c r="AB37" s="40"/>
      <c r="AC37" s="40"/>
      <c r="AD37" s="40"/>
      <c r="AE37" s="199"/>
      <c r="AI37" s="21"/>
      <c r="AJ37" s="21"/>
    </row>
    <row r="38" spans="3:36" s="20" customFormat="1" x14ac:dyDescent="0.2">
      <c r="C38" s="17" t="s">
        <v>824</v>
      </c>
      <c r="D38" s="17"/>
      <c r="E38" s="36"/>
      <c r="F38" s="36"/>
      <c r="G38" s="36"/>
      <c r="H38" s="36"/>
      <c r="I38" s="36"/>
      <c r="J38" s="36"/>
      <c r="K38" s="36"/>
      <c r="L38" s="36"/>
      <c r="M38" s="36"/>
      <c r="N38" s="36"/>
      <c r="O38" s="36">
        <v>-24.152000000000001</v>
      </c>
      <c r="P38" s="36"/>
      <c r="Q38" s="36"/>
      <c r="R38" s="36"/>
      <c r="S38" s="34"/>
      <c r="T38" s="34">
        <v>-19.073</v>
      </c>
      <c r="U38" s="34">
        <v>-7.2889999999999997</v>
      </c>
      <c r="V38" s="40">
        <v>0</v>
      </c>
      <c r="W38" s="40">
        <v>0</v>
      </c>
      <c r="X38" s="40">
        <v>0</v>
      </c>
      <c r="Y38" s="40">
        <f t="shared" si="11"/>
        <v>-7.2889999999999997</v>
      </c>
      <c r="Z38" s="40"/>
      <c r="AA38" s="40"/>
      <c r="AB38" s="40"/>
      <c r="AC38" s="40"/>
      <c r="AD38" s="40"/>
      <c r="AE38" s="199"/>
      <c r="AI38" s="21"/>
      <c r="AJ38" s="21"/>
    </row>
    <row r="39" spans="3:36" s="20" customFormat="1" x14ac:dyDescent="0.2">
      <c r="C39" s="17" t="s">
        <v>825</v>
      </c>
      <c r="D39" s="17"/>
      <c r="E39" s="36"/>
      <c r="F39" s="36"/>
      <c r="G39" s="36"/>
      <c r="H39" s="36"/>
      <c r="I39" s="36"/>
      <c r="J39" s="36"/>
      <c r="K39" s="36"/>
      <c r="L39" s="36"/>
      <c r="M39" s="36"/>
      <c r="N39" s="36"/>
      <c r="O39" s="36">
        <v>1.76</v>
      </c>
      <c r="P39" s="36"/>
      <c r="Q39" s="36"/>
      <c r="R39" s="36"/>
      <c r="S39" s="34"/>
      <c r="T39" s="34">
        <v>2.8220000000000001</v>
      </c>
      <c r="U39" s="34">
        <v>0.55900000000000005</v>
      </c>
      <c r="V39" s="40">
        <v>0</v>
      </c>
      <c r="W39" s="40">
        <v>0</v>
      </c>
      <c r="X39" s="40">
        <v>0</v>
      </c>
      <c r="Y39" s="40">
        <f t="shared" si="11"/>
        <v>0.55900000000000005</v>
      </c>
      <c r="Z39" s="40"/>
      <c r="AA39" s="40"/>
      <c r="AB39" s="40"/>
      <c r="AC39" s="40"/>
      <c r="AD39" s="40"/>
      <c r="AE39" s="199"/>
      <c r="AI39" s="21"/>
      <c r="AJ39" s="21"/>
    </row>
    <row r="40" spans="3:36" s="20" customFormat="1" x14ac:dyDescent="0.2">
      <c r="C40" s="18" t="s">
        <v>826</v>
      </c>
      <c r="D40" s="17"/>
      <c r="E40" s="36"/>
      <c r="F40" s="36"/>
      <c r="G40" s="36"/>
      <c r="H40" s="36"/>
      <c r="I40" s="36"/>
      <c r="J40" s="36"/>
      <c r="K40" s="36"/>
      <c r="L40" s="36"/>
      <c r="M40" s="36"/>
      <c r="N40" s="36"/>
      <c r="O40" s="36"/>
      <c r="P40" s="36"/>
      <c r="Q40" s="36"/>
      <c r="R40" s="36"/>
      <c r="S40" s="34"/>
      <c r="T40" s="34"/>
      <c r="U40" s="34">
        <f>T40/4</f>
        <v>0</v>
      </c>
      <c r="V40" s="40">
        <v>0</v>
      </c>
      <c r="W40" s="40">
        <v>0</v>
      </c>
      <c r="X40" s="40">
        <v>0</v>
      </c>
      <c r="Y40" s="40">
        <f t="shared" si="11"/>
        <v>0</v>
      </c>
      <c r="Z40" s="40"/>
      <c r="AA40" s="40"/>
      <c r="AB40" s="40"/>
      <c r="AC40" s="40"/>
      <c r="AD40" s="40"/>
      <c r="AE40" s="199"/>
      <c r="AI40" s="21"/>
      <c r="AJ40" s="21"/>
    </row>
    <row r="41" spans="3:36" s="20" customFormat="1" x14ac:dyDescent="0.2">
      <c r="C41" s="17" t="s">
        <v>115</v>
      </c>
      <c r="D41" s="17"/>
      <c r="E41" s="36"/>
      <c r="F41" s="36"/>
      <c r="G41" s="36"/>
      <c r="H41" s="36"/>
      <c r="I41" s="36"/>
      <c r="J41" s="36"/>
      <c r="K41" s="36"/>
      <c r="L41" s="36"/>
      <c r="M41" s="36"/>
      <c r="N41" s="36"/>
      <c r="O41" s="36">
        <v>-16.091000000000001</v>
      </c>
      <c r="P41" s="36"/>
      <c r="Q41" s="36"/>
      <c r="R41" s="36"/>
      <c r="S41" s="34"/>
      <c r="T41" s="34">
        <v>-17.773</v>
      </c>
      <c r="U41" s="34">
        <v>-3.9089999999999998</v>
      </c>
      <c r="V41" s="40">
        <v>0</v>
      </c>
      <c r="W41" s="40">
        <v>0</v>
      </c>
      <c r="X41" s="40">
        <v>0</v>
      </c>
      <c r="Y41" s="40">
        <f t="shared" si="11"/>
        <v>-3.9089999999999998</v>
      </c>
      <c r="Z41" s="40"/>
      <c r="AA41" s="40"/>
      <c r="AB41" s="40"/>
      <c r="AC41" s="40"/>
      <c r="AD41" s="40"/>
      <c r="AE41" s="199"/>
      <c r="AI41" s="21"/>
      <c r="AJ41" s="21"/>
    </row>
    <row r="42" spans="3:36" s="20" customFormat="1" x14ac:dyDescent="0.2">
      <c r="C42" s="17" t="s">
        <v>827</v>
      </c>
      <c r="D42" s="17"/>
      <c r="E42" s="36"/>
      <c r="F42" s="36"/>
      <c r="G42" s="36"/>
      <c r="H42" s="36"/>
      <c r="I42" s="36"/>
      <c r="J42" s="36"/>
      <c r="K42" s="36"/>
      <c r="L42" s="36"/>
      <c r="M42" s="36"/>
      <c r="N42" s="36"/>
      <c r="O42" s="36">
        <f>-259.619</f>
        <v>-259.61900000000003</v>
      </c>
      <c r="P42" s="36"/>
      <c r="Q42" s="36"/>
      <c r="R42" s="36"/>
      <c r="S42" s="34"/>
      <c r="T42" s="34">
        <v>-139.166</v>
      </c>
      <c r="U42" s="34">
        <v>-9.1850000000000005</v>
      </c>
      <c r="V42" s="40">
        <v>0</v>
      </c>
      <c r="W42" s="40">
        <v>0</v>
      </c>
      <c r="X42" s="40">
        <v>0</v>
      </c>
      <c r="Y42" s="40">
        <f t="shared" si="11"/>
        <v>-9.1850000000000005</v>
      </c>
      <c r="Z42" s="40"/>
      <c r="AA42" s="40"/>
      <c r="AB42" s="40"/>
      <c r="AC42" s="40"/>
      <c r="AD42" s="40"/>
      <c r="AE42" s="199"/>
      <c r="AI42" s="21"/>
      <c r="AJ42" s="21"/>
    </row>
    <row r="43" spans="3:36" s="20" customFormat="1" x14ac:dyDescent="0.2">
      <c r="C43" s="17" t="s">
        <v>828</v>
      </c>
      <c r="D43" s="17"/>
      <c r="E43" s="36"/>
      <c r="F43" s="36"/>
      <c r="G43" s="36"/>
      <c r="H43" s="36"/>
      <c r="I43" s="36"/>
      <c r="J43" s="36"/>
      <c r="K43" s="36"/>
      <c r="L43" s="36"/>
      <c r="M43" s="36"/>
      <c r="N43" s="36"/>
      <c r="O43" s="36">
        <v>42.874000000000002</v>
      </c>
      <c r="P43" s="36"/>
      <c r="Q43" s="36"/>
      <c r="R43" s="36"/>
      <c r="S43" s="34"/>
      <c r="T43" s="34">
        <v>205.66300000000001</v>
      </c>
      <c r="U43" s="34">
        <v>-17.547999999999998</v>
      </c>
      <c r="V43" s="40">
        <v>0</v>
      </c>
      <c r="W43" s="40">
        <v>0</v>
      </c>
      <c r="X43" s="40">
        <v>0</v>
      </c>
      <c r="Y43" s="40">
        <f t="shared" si="11"/>
        <v>-17.547999999999998</v>
      </c>
      <c r="Z43" s="40"/>
      <c r="AA43" s="40"/>
      <c r="AB43" s="40"/>
      <c r="AC43" s="40"/>
      <c r="AD43" s="40"/>
      <c r="AE43" s="199"/>
      <c r="AI43" s="21"/>
      <c r="AJ43" s="21"/>
    </row>
    <row r="44" spans="3:36" s="20" customFormat="1" x14ac:dyDescent="0.2">
      <c r="C44" s="17"/>
      <c r="D44" s="17"/>
      <c r="E44" s="36"/>
      <c r="F44" s="36"/>
      <c r="G44" s="36"/>
      <c r="H44" s="36"/>
      <c r="I44" s="36"/>
      <c r="J44" s="36"/>
      <c r="K44" s="36"/>
      <c r="L44" s="36"/>
      <c r="M44" s="36"/>
      <c r="N44" s="36"/>
      <c r="O44" s="36"/>
      <c r="P44" s="36"/>
      <c r="Q44" s="36"/>
      <c r="R44" s="36"/>
      <c r="S44" s="34"/>
      <c r="T44" s="34"/>
      <c r="U44" s="34"/>
      <c r="V44" s="40">
        <v>0</v>
      </c>
      <c r="W44" s="40">
        <v>0</v>
      </c>
      <c r="X44" s="40">
        <v>0</v>
      </c>
      <c r="Y44" s="40">
        <f t="shared" si="11"/>
        <v>0</v>
      </c>
      <c r="Z44" s="40"/>
      <c r="AA44" s="40"/>
      <c r="AB44" s="40"/>
      <c r="AC44" s="40"/>
      <c r="AD44" s="40"/>
      <c r="AE44" s="199"/>
      <c r="AI44" s="21"/>
      <c r="AJ44" s="21"/>
    </row>
    <row r="45" spans="3:36" s="20" customFormat="1" x14ac:dyDescent="0.2">
      <c r="C45" s="17" t="s">
        <v>829</v>
      </c>
      <c r="D45" s="17"/>
      <c r="E45" s="36"/>
      <c r="F45" s="36"/>
      <c r="G45" s="36"/>
      <c r="H45" s="36"/>
      <c r="I45" s="36"/>
      <c r="J45" s="36"/>
      <c r="K45" s="36"/>
      <c r="L45" s="36"/>
      <c r="M45" s="36"/>
      <c r="N45" s="36"/>
      <c r="O45" s="36">
        <v>-4.9859999999999998</v>
      </c>
      <c r="P45" s="36"/>
      <c r="Q45" s="36"/>
      <c r="R45" s="36"/>
      <c r="S45" s="34"/>
      <c r="T45" s="34">
        <v>-3.6280000000000001</v>
      </c>
      <c r="U45" s="34">
        <v>-8.4510000000000005</v>
      </c>
      <c r="V45" s="40">
        <v>0</v>
      </c>
      <c r="W45" s="40">
        <v>0</v>
      </c>
      <c r="X45" s="40">
        <v>0</v>
      </c>
      <c r="Y45" s="40">
        <f t="shared" si="11"/>
        <v>-8.4510000000000005</v>
      </c>
      <c r="Z45" s="40"/>
      <c r="AA45" s="40"/>
      <c r="AB45" s="40"/>
      <c r="AC45" s="40"/>
      <c r="AD45" s="40"/>
      <c r="AE45" s="199"/>
      <c r="AI45" s="21"/>
      <c r="AJ45" s="21"/>
    </row>
    <row r="46" spans="3:36" s="20" customFormat="1" x14ac:dyDescent="0.2">
      <c r="C46" s="17" t="s">
        <v>818</v>
      </c>
      <c r="D46" s="17"/>
      <c r="E46" s="36"/>
      <c r="F46" s="36"/>
      <c r="G46" s="36"/>
      <c r="H46" s="36"/>
      <c r="I46" s="36"/>
      <c r="J46" s="36"/>
      <c r="K46" s="36"/>
      <c r="L46" s="36"/>
      <c r="M46" s="36"/>
      <c r="N46" s="36"/>
      <c r="O46" s="36"/>
      <c r="P46" s="36"/>
      <c r="Q46" s="36"/>
      <c r="R46" s="36"/>
      <c r="S46" s="34"/>
      <c r="T46" s="34">
        <v>0</v>
      </c>
      <c r="U46" s="34">
        <v>4.2130000000000001</v>
      </c>
      <c r="V46" s="40">
        <v>0</v>
      </c>
      <c r="W46" s="40">
        <v>0</v>
      </c>
      <c r="X46" s="40">
        <v>0</v>
      </c>
      <c r="Y46" s="40">
        <f t="shared" si="11"/>
        <v>4.2130000000000001</v>
      </c>
      <c r="Z46" s="40"/>
      <c r="AA46" s="40"/>
      <c r="AB46" s="40"/>
      <c r="AC46" s="40"/>
      <c r="AD46" s="40"/>
      <c r="AE46" s="199"/>
      <c r="AI46" s="21"/>
      <c r="AJ46" s="21"/>
    </row>
    <row r="47" spans="3:36" s="20" customFormat="1" x14ac:dyDescent="0.2">
      <c r="C47" s="32" t="s">
        <v>139</v>
      </c>
      <c r="D47" s="32"/>
      <c r="E47" s="33">
        <f t="shared" ref="E47:AD47" si="12">SUM(E33:E46,E31,-E30)</f>
        <v>0</v>
      </c>
      <c r="F47" s="33">
        <f t="shared" si="12"/>
        <v>0</v>
      </c>
      <c r="G47" s="33">
        <f t="shared" si="12"/>
        <v>0</v>
      </c>
      <c r="H47" s="33">
        <f t="shared" si="12"/>
        <v>0</v>
      </c>
      <c r="I47" s="33">
        <f t="shared" si="12"/>
        <v>0</v>
      </c>
      <c r="J47" s="33">
        <f t="shared" si="12"/>
        <v>0</v>
      </c>
      <c r="K47" s="33">
        <f t="shared" si="12"/>
        <v>0</v>
      </c>
      <c r="L47" s="33">
        <f t="shared" si="12"/>
        <v>0</v>
      </c>
      <c r="M47" s="33">
        <f t="shared" si="12"/>
        <v>0</v>
      </c>
      <c r="N47" s="33">
        <f t="shared" si="12"/>
        <v>0</v>
      </c>
      <c r="O47" s="33">
        <f t="shared" si="12"/>
        <v>770.85699999999986</v>
      </c>
      <c r="P47" s="33">
        <f t="shared" si="12"/>
        <v>0</v>
      </c>
      <c r="Q47" s="33">
        <f t="shared" si="12"/>
        <v>0</v>
      </c>
      <c r="R47" s="33">
        <f t="shared" si="12"/>
        <v>0</v>
      </c>
      <c r="S47" s="33">
        <f t="shared" si="12"/>
        <v>0</v>
      </c>
      <c r="T47" s="33">
        <f t="shared" si="12"/>
        <v>1060.8059999999998</v>
      </c>
      <c r="U47" s="33">
        <f t="shared" si="12"/>
        <v>248.51800000000003</v>
      </c>
      <c r="V47" s="33">
        <f t="shared" si="12"/>
        <v>290.84940594598908</v>
      </c>
      <c r="W47" s="33">
        <f t="shared" si="12"/>
        <v>226.66244485787632</v>
      </c>
      <c r="X47" s="33">
        <f t="shared" si="12"/>
        <v>367.98650635787726</v>
      </c>
      <c r="Y47" s="33">
        <f t="shared" si="12"/>
        <v>1134.0163571617427</v>
      </c>
      <c r="Z47" s="33" t="e">
        <f t="shared" si="12"/>
        <v>#REF!</v>
      </c>
      <c r="AA47" s="33" t="e">
        <f t="shared" si="12"/>
        <v>#REF!</v>
      </c>
      <c r="AB47" s="33" t="e">
        <f t="shared" si="12"/>
        <v>#REF!</v>
      </c>
      <c r="AC47" s="33" t="e">
        <f t="shared" si="12"/>
        <v>#REF!</v>
      </c>
      <c r="AD47" s="33" t="e">
        <f t="shared" si="12"/>
        <v>#REF!</v>
      </c>
      <c r="AE47" s="199"/>
      <c r="AI47" s="21"/>
      <c r="AJ47" s="21"/>
    </row>
    <row r="48" spans="3:36" s="20" customFormat="1" ht="5.0999999999999996" customHeight="1" x14ac:dyDescent="0.2">
      <c r="C48" s="17"/>
      <c r="D48" s="17"/>
      <c r="E48" s="37"/>
      <c r="F48" s="37"/>
      <c r="G48" s="37"/>
      <c r="H48" s="37"/>
      <c r="I48" s="37"/>
      <c r="J48" s="37"/>
      <c r="K48" s="37"/>
      <c r="L48" s="37"/>
      <c r="M48" s="37"/>
      <c r="N48" s="37"/>
      <c r="O48" s="37"/>
      <c r="P48" s="37"/>
      <c r="Q48" s="37"/>
      <c r="R48" s="37"/>
      <c r="AE48" s="199"/>
      <c r="AI48" s="21"/>
      <c r="AJ48" s="21"/>
    </row>
    <row r="49" spans="3:36" s="20" customFormat="1" ht="5.0999999999999996" customHeight="1" x14ac:dyDescent="0.2">
      <c r="C49" s="17"/>
      <c r="D49" s="17"/>
      <c r="E49" s="37"/>
      <c r="F49" s="37"/>
      <c r="G49" s="37"/>
      <c r="H49" s="37"/>
      <c r="I49" s="37"/>
      <c r="J49" s="37"/>
      <c r="K49" s="37"/>
      <c r="L49" s="37"/>
      <c r="M49" s="37"/>
      <c r="N49" s="37"/>
      <c r="O49" s="37"/>
      <c r="P49" s="37"/>
      <c r="Q49" s="37"/>
      <c r="R49" s="37"/>
      <c r="AE49" s="199"/>
      <c r="AI49" s="21"/>
      <c r="AJ49" s="21"/>
    </row>
    <row r="50" spans="3:36" s="20" customFormat="1" x14ac:dyDescent="0.2">
      <c r="C50" s="17" t="s">
        <v>830</v>
      </c>
      <c r="D50" s="17"/>
      <c r="E50" s="36"/>
      <c r="F50" s="36"/>
      <c r="G50" s="36"/>
      <c r="H50" s="36"/>
      <c r="I50" s="36"/>
      <c r="J50" s="36"/>
      <c r="K50" s="36"/>
      <c r="L50" s="36"/>
      <c r="M50" s="36"/>
      <c r="N50" s="36"/>
      <c r="O50" s="36">
        <v>4.1719999999999997</v>
      </c>
      <c r="P50" s="36"/>
      <c r="Q50" s="36"/>
      <c r="R50" s="36"/>
      <c r="S50" s="34"/>
      <c r="T50" s="34">
        <v>13.583</v>
      </c>
      <c r="U50" s="34">
        <v>1.798</v>
      </c>
      <c r="V50" s="40">
        <v>0</v>
      </c>
      <c r="W50" s="40">
        <v>0</v>
      </c>
      <c r="X50" s="40">
        <v>0</v>
      </c>
      <c r="Y50" s="40">
        <f t="shared" ref="Y50:Y61" si="13">SUM(U50:X50)</f>
        <v>1.798</v>
      </c>
      <c r="Z50" s="40"/>
      <c r="AA50" s="40"/>
      <c r="AB50" s="40"/>
      <c r="AC50" s="40"/>
      <c r="AD50" s="40"/>
      <c r="AE50" s="199"/>
      <c r="AI50" s="21"/>
      <c r="AJ50" s="21"/>
    </row>
    <row r="51" spans="3:36" s="20" customFormat="1" x14ac:dyDescent="0.2">
      <c r="C51" s="17" t="s">
        <v>831</v>
      </c>
      <c r="D51" s="17"/>
      <c r="E51" s="36"/>
      <c r="F51" s="36"/>
      <c r="G51" s="36"/>
      <c r="H51" s="36"/>
      <c r="I51" s="36"/>
      <c r="J51" s="36"/>
      <c r="K51" s="36"/>
      <c r="L51" s="36"/>
      <c r="M51" s="36"/>
      <c r="N51" s="36"/>
      <c r="O51" s="36">
        <v>-11.5</v>
      </c>
      <c r="P51" s="36"/>
      <c r="Q51" s="36"/>
      <c r="R51" s="36"/>
      <c r="S51" s="34"/>
      <c r="T51" s="34">
        <v>-15.488</v>
      </c>
      <c r="U51" s="34">
        <v>-2.581</v>
      </c>
      <c r="V51" s="40">
        <v>0</v>
      </c>
      <c r="W51" s="40">
        <v>0</v>
      </c>
      <c r="X51" s="40">
        <v>0</v>
      </c>
      <c r="Y51" s="40">
        <f t="shared" si="13"/>
        <v>-2.581</v>
      </c>
      <c r="Z51" s="40"/>
      <c r="AA51" s="40"/>
      <c r="AB51" s="40"/>
      <c r="AC51" s="40"/>
      <c r="AD51" s="40"/>
      <c r="AE51" s="199"/>
      <c r="AI51" s="21"/>
      <c r="AJ51" s="21"/>
    </row>
    <row r="52" spans="3:36" s="20" customFormat="1" x14ac:dyDescent="0.2">
      <c r="C52" s="17" t="s">
        <v>832</v>
      </c>
      <c r="D52" s="17"/>
      <c r="E52" s="36"/>
      <c r="F52" s="36"/>
      <c r="G52" s="36"/>
      <c r="H52" s="36"/>
      <c r="I52" s="36"/>
      <c r="J52" s="36"/>
      <c r="K52" s="36"/>
      <c r="L52" s="36"/>
      <c r="M52" s="36"/>
      <c r="N52" s="36"/>
      <c r="O52" s="36">
        <v>4.1950000000000003</v>
      </c>
      <c r="P52" s="36"/>
      <c r="Q52" s="36"/>
      <c r="R52" s="36"/>
      <c r="S52" s="34"/>
      <c r="T52" s="34">
        <v>0</v>
      </c>
      <c r="U52" s="34">
        <f>T52/4</f>
        <v>0</v>
      </c>
      <c r="V52" s="40">
        <v>0</v>
      </c>
      <c r="W52" s="40">
        <v>0</v>
      </c>
      <c r="X52" s="40">
        <v>0</v>
      </c>
      <c r="Y52" s="40">
        <f t="shared" si="13"/>
        <v>0</v>
      </c>
      <c r="Z52" s="40"/>
      <c r="AA52" s="40"/>
      <c r="AB52" s="40"/>
      <c r="AC52" s="40"/>
      <c r="AD52" s="40"/>
      <c r="AE52" s="199"/>
      <c r="AI52" s="21"/>
      <c r="AJ52" s="21"/>
    </row>
    <row r="53" spans="3:36" s="20" customFormat="1" x14ac:dyDescent="0.2">
      <c r="C53" s="17" t="s">
        <v>833</v>
      </c>
      <c r="D53" s="17"/>
      <c r="E53" s="36"/>
      <c r="F53" s="36"/>
      <c r="G53" s="36"/>
      <c r="H53" s="36"/>
      <c r="I53" s="36"/>
      <c r="J53" s="36"/>
      <c r="K53" s="36"/>
      <c r="L53" s="36"/>
      <c r="M53" s="36"/>
      <c r="N53" s="36"/>
      <c r="O53" s="36">
        <v>-0.32400000000000001</v>
      </c>
      <c r="P53" s="36"/>
      <c r="Q53" s="36"/>
      <c r="R53" s="36"/>
      <c r="S53" s="34"/>
      <c r="T53" s="34">
        <v>-10.407999999999999</v>
      </c>
      <c r="U53" s="34">
        <v>-0.35299999999999998</v>
      </c>
      <c r="V53" s="40">
        <v>0</v>
      </c>
      <c r="W53" s="40">
        <v>0</v>
      </c>
      <c r="X53" s="40">
        <v>0</v>
      </c>
      <c r="Y53" s="40">
        <f t="shared" si="13"/>
        <v>-0.35299999999999998</v>
      </c>
      <c r="Z53" s="40"/>
      <c r="AA53" s="40"/>
      <c r="AB53" s="40"/>
      <c r="AC53" s="40"/>
      <c r="AD53" s="40"/>
      <c r="AE53" s="199"/>
      <c r="AI53" s="21"/>
      <c r="AJ53" s="21"/>
    </row>
    <row r="54" spans="3:36" s="20" customFormat="1" x14ac:dyDescent="0.2">
      <c r="C54" s="17" t="s">
        <v>834</v>
      </c>
      <c r="D54" s="17"/>
      <c r="E54" s="36"/>
      <c r="F54" s="36"/>
      <c r="G54" s="36"/>
      <c r="H54" s="36"/>
      <c r="I54" s="36"/>
      <c r="J54" s="36"/>
      <c r="K54" s="36"/>
      <c r="L54" s="36"/>
      <c r="M54" s="36"/>
      <c r="N54" s="36"/>
      <c r="O54" s="36">
        <v>-1.8140000000000001</v>
      </c>
      <c r="P54" s="36"/>
      <c r="Q54" s="36"/>
      <c r="R54" s="36"/>
      <c r="S54" s="34"/>
      <c r="T54" s="34">
        <v>-2.2400000000000002</v>
      </c>
      <c r="U54" s="34"/>
      <c r="V54" s="40">
        <v>0</v>
      </c>
      <c r="W54" s="40">
        <v>0</v>
      </c>
      <c r="X54" s="40">
        <v>0</v>
      </c>
      <c r="Y54" s="40">
        <f t="shared" si="13"/>
        <v>0</v>
      </c>
      <c r="Z54" s="40"/>
      <c r="AA54" s="40"/>
      <c r="AB54" s="40"/>
      <c r="AC54" s="40"/>
      <c r="AD54" s="40"/>
      <c r="AE54" s="199"/>
      <c r="AI54" s="21"/>
      <c r="AJ54" s="21"/>
    </row>
    <row r="55" spans="3:36" s="20" customFormat="1" x14ac:dyDescent="0.2">
      <c r="C55" s="17" t="s">
        <v>835</v>
      </c>
      <c r="D55" s="17"/>
      <c r="E55" s="36"/>
      <c r="F55" s="36"/>
      <c r="G55" s="36"/>
      <c r="H55" s="36"/>
      <c r="I55" s="36"/>
      <c r="J55" s="36"/>
      <c r="K55" s="36"/>
      <c r="L55" s="36"/>
      <c r="M55" s="36"/>
      <c r="N55" s="36"/>
      <c r="O55" s="36">
        <v>-0.248</v>
      </c>
      <c r="P55" s="36"/>
      <c r="Q55" s="36"/>
      <c r="R55" s="36"/>
      <c r="S55" s="34"/>
      <c r="T55" s="34">
        <v>0</v>
      </c>
      <c r="U55" s="34">
        <v>-2.1999999999999999E-2</v>
      </c>
      <c r="V55" s="40">
        <v>0</v>
      </c>
      <c r="W55" s="40">
        <v>0</v>
      </c>
      <c r="X55" s="40">
        <v>0</v>
      </c>
      <c r="Y55" s="40">
        <f t="shared" si="13"/>
        <v>-2.1999999999999999E-2</v>
      </c>
      <c r="Z55" s="40"/>
      <c r="AA55" s="40"/>
      <c r="AB55" s="40"/>
      <c r="AC55" s="40"/>
      <c r="AD55" s="40"/>
      <c r="AE55" s="199"/>
      <c r="AI55" s="21"/>
      <c r="AJ55" s="21"/>
    </row>
    <row r="56" spans="3:36" s="20" customFormat="1" x14ac:dyDescent="0.2">
      <c r="C56" s="17" t="s">
        <v>836</v>
      </c>
      <c r="D56" s="17"/>
      <c r="E56" s="36"/>
      <c r="F56" s="36"/>
      <c r="G56" s="36"/>
      <c r="H56" s="36"/>
      <c r="I56" s="36"/>
      <c r="J56" s="36"/>
      <c r="K56" s="36"/>
      <c r="L56" s="36"/>
      <c r="M56" s="36"/>
      <c r="N56" s="36"/>
      <c r="O56" s="36">
        <v>255.809</v>
      </c>
      <c r="P56" s="36"/>
      <c r="Q56" s="36"/>
      <c r="R56" s="36"/>
      <c r="S56" s="34"/>
      <c r="T56" s="34">
        <v>142.79300000000001</v>
      </c>
      <c r="U56" s="34"/>
      <c r="V56" s="40">
        <v>0</v>
      </c>
      <c r="W56" s="40">
        <v>0</v>
      </c>
      <c r="X56" s="40">
        <v>0</v>
      </c>
      <c r="Y56" s="40">
        <f t="shared" si="13"/>
        <v>0</v>
      </c>
      <c r="Z56" s="40"/>
      <c r="AA56" s="40"/>
      <c r="AB56" s="40"/>
      <c r="AC56" s="40"/>
      <c r="AD56" s="40"/>
      <c r="AE56" s="199"/>
      <c r="AI56" s="21"/>
      <c r="AJ56" s="21"/>
    </row>
    <row r="57" spans="3:36" s="20" customFormat="1" x14ac:dyDescent="0.2">
      <c r="C57" s="17" t="s">
        <v>837</v>
      </c>
      <c r="D57" s="17"/>
      <c r="E57" s="36"/>
      <c r="F57" s="36"/>
      <c r="G57" s="36"/>
      <c r="H57" s="36"/>
      <c r="I57" s="36"/>
      <c r="J57" s="36"/>
      <c r="K57" s="36"/>
      <c r="L57" s="36"/>
      <c r="M57" s="36"/>
      <c r="N57" s="36"/>
      <c r="O57" s="36">
        <v>15.882</v>
      </c>
      <c r="P57" s="36"/>
      <c r="Q57" s="36"/>
      <c r="R57" s="36"/>
      <c r="S57" s="34"/>
      <c r="T57" s="34">
        <v>0</v>
      </c>
      <c r="U57" s="34">
        <v>2.3439999999999999</v>
      </c>
      <c r="V57" s="40">
        <v>0</v>
      </c>
      <c r="W57" s="40">
        <v>0</v>
      </c>
      <c r="X57" s="40">
        <v>0</v>
      </c>
      <c r="Y57" s="40">
        <f t="shared" si="13"/>
        <v>2.3439999999999999</v>
      </c>
      <c r="Z57" s="40"/>
      <c r="AA57" s="40"/>
      <c r="AB57" s="40"/>
      <c r="AC57" s="40"/>
      <c r="AD57" s="40"/>
      <c r="AE57" s="199"/>
      <c r="AI57" s="21"/>
      <c r="AJ57" s="21"/>
    </row>
    <row r="58" spans="3:36" s="20" customFormat="1" x14ac:dyDescent="0.2">
      <c r="C58" s="17" t="s">
        <v>838</v>
      </c>
      <c r="D58" s="17"/>
      <c r="E58" s="36"/>
      <c r="F58" s="36"/>
      <c r="G58" s="36"/>
      <c r="H58" s="36"/>
      <c r="I58" s="36"/>
      <c r="J58" s="36"/>
      <c r="K58" s="36"/>
      <c r="L58" s="36"/>
      <c r="M58" s="36"/>
      <c r="N58" s="36"/>
      <c r="O58" s="36">
        <v>0</v>
      </c>
      <c r="P58" s="36"/>
      <c r="Q58" s="36"/>
      <c r="R58" s="36"/>
      <c r="S58" s="34"/>
      <c r="T58" s="34">
        <v>23.975000000000001</v>
      </c>
      <c r="U58" s="34"/>
      <c r="V58" s="40">
        <v>0</v>
      </c>
      <c r="W58" s="40">
        <v>0</v>
      </c>
      <c r="X58" s="40">
        <v>0</v>
      </c>
      <c r="Y58" s="40">
        <f t="shared" si="13"/>
        <v>0</v>
      </c>
      <c r="Z58" s="40"/>
      <c r="AA58" s="40"/>
      <c r="AB58" s="40"/>
      <c r="AC58" s="40"/>
      <c r="AD58" s="40"/>
      <c r="AE58" s="199"/>
      <c r="AI58" s="21"/>
      <c r="AJ58" s="21"/>
    </row>
    <row r="59" spans="3:36" s="20" customFormat="1" x14ac:dyDescent="0.2">
      <c r="C59" s="17" t="s">
        <v>839</v>
      </c>
      <c r="D59" s="17"/>
      <c r="E59" s="36"/>
      <c r="F59" s="36"/>
      <c r="G59" s="36"/>
      <c r="H59" s="36"/>
      <c r="I59" s="36"/>
      <c r="J59" s="36"/>
      <c r="K59" s="36"/>
      <c r="L59" s="36"/>
      <c r="M59" s="36"/>
      <c r="N59" s="36"/>
      <c r="O59" s="36">
        <v>0</v>
      </c>
      <c r="P59" s="36"/>
      <c r="Q59" s="36"/>
      <c r="R59" s="36"/>
      <c r="S59" s="34"/>
      <c r="T59" s="34">
        <v>0.5</v>
      </c>
      <c r="U59" s="34"/>
      <c r="V59" s="40">
        <v>0</v>
      </c>
      <c r="W59" s="40">
        <v>0</v>
      </c>
      <c r="X59" s="40">
        <v>0</v>
      </c>
      <c r="Y59" s="40">
        <f t="shared" si="13"/>
        <v>0</v>
      </c>
      <c r="Z59" s="40"/>
      <c r="AA59" s="40"/>
      <c r="AB59" s="40"/>
      <c r="AC59" s="40"/>
      <c r="AD59" s="40"/>
      <c r="AE59" s="199"/>
      <c r="AI59" s="21"/>
      <c r="AJ59" s="21"/>
    </row>
    <row r="60" spans="3:36" s="20" customFormat="1" x14ac:dyDescent="0.2">
      <c r="C60" s="17" t="s">
        <v>840</v>
      </c>
      <c r="D60" s="17"/>
      <c r="E60" s="36"/>
      <c r="F60" s="36"/>
      <c r="G60" s="36"/>
      <c r="H60" s="36"/>
      <c r="I60" s="36"/>
      <c r="J60" s="36"/>
      <c r="K60" s="36"/>
      <c r="L60" s="36"/>
      <c r="M60" s="36"/>
      <c r="N60" s="36"/>
      <c r="O60" s="36">
        <v>1.825</v>
      </c>
      <c r="P60" s="36"/>
      <c r="Q60" s="36"/>
      <c r="R60" s="36"/>
      <c r="S60" s="34"/>
      <c r="T60" s="34">
        <v>0</v>
      </c>
      <c r="U60" s="34">
        <f>T60/4</f>
        <v>0</v>
      </c>
      <c r="V60" s="40">
        <v>0</v>
      </c>
      <c r="W60" s="40">
        <v>0</v>
      </c>
      <c r="X60" s="40">
        <v>0</v>
      </c>
      <c r="Y60" s="40">
        <f t="shared" si="13"/>
        <v>0</v>
      </c>
      <c r="Z60" s="40"/>
      <c r="AA60" s="40"/>
      <c r="AB60" s="40"/>
      <c r="AC60" s="40"/>
      <c r="AD60" s="40"/>
      <c r="AE60" s="199"/>
      <c r="AI60" s="21"/>
      <c r="AJ60" s="21"/>
    </row>
    <row r="61" spans="3:36" s="20" customFormat="1" x14ac:dyDescent="0.2">
      <c r="C61" s="17" t="s">
        <v>413</v>
      </c>
      <c r="D61" s="17"/>
      <c r="E61" s="36"/>
      <c r="F61" s="36"/>
      <c r="G61" s="36"/>
      <c r="H61" s="36"/>
      <c r="I61" s="36"/>
      <c r="J61" s="36"/>
      <c r="K61" s="36"/>
      <c r="L61" s="36"/>
      <c r="M61" s="36"/>
      <c r="N61" s="36"/>
      <c r="O61" s="36">
        <v>-447.12799999999999</v>
      </c>
      <c r="P61" s="36"/>
      <c r="Q61" s="36"/>
      <c r="R61" s="36"/>
      <c r="S61" s="34"/>
      <c r="T61" s="34">
        <v>-184.392</v>
      </c>
      <c r="U61" s="34">
        <v>-15.365</v>
      </c>
      <c r="V61" s="40">
        <v>-15.4</v>
      </c>
      <c r="W61" s="40">
        <v>-15.4</v>
      </c>
      <c r="X61" s="40">
        <v>-15.4</v>
      </c>
      <c r="Y61" s="40">
        <f t="shared" si="13"/>
        <v>-61.564999999999998</v>
      </c>
      <c r="Z61" s="40"/>
      <c r="AA61" s="40"/>
      <c r="AB61" s="40"/>
      <c r="AC61" s="40"/>
      <c r="AD61" s="40"/>
      <c r="AE61" s="199"/>
      <c r="AI61" s="21"/>
      <c r="AJ61" s="21"/>
    </row>
    <row r="62" spans="3:36" s="20" customFormat="1" x14ac:dyDescent="0.2">
      <c r="C62" s="17"/>
      <c r="D62" s="17"/>
      <c r="E62" s="36"/>
      <c r="F62" s="36"/>
      <c r="G62" s="36"/>
      <c r="H62" s="36"/>
      <c r="I62" s="36"/>
      <c r="J62" s="36"/>
      <c r="K62" s="36"/>
      <c r="L62" s="36"/>
      <c r="M62" s="36"/>
      <c r="N62" s="36"/>
      <c r="O62" s="36"/>
      <c r="P62" s="36"/>
      <c r="Q62" s="36"/>
      <c r="R62" s="36"/>
      <c r="S62" s="34"/>
      <c r="T62" s="34"/>
      <c r="U62" s="34"/>
      <c r="V62" s="40"/>
      <c r="W62" s="40"/>
      <c r="X62" s="40"/>
      <c r="Y62" s="40"/>
      <c r="Z62" s="40"/>
      <c r="AA62" s="40"/>
      <c r="AB62" s="40"/>
      <c r="AC62" s="40"/>
      <c r="AD62" s="40"/>
      <c r="AE62" s="199"/>
      <c r="AI62" s="21"/>
      <c r="AJ62" s="21"/>
    </row>
    <row r="63" spans="3:36" s="20" customFormat="1" x14ac:dyDescent="0.2">
      <c r="C63" s="32" t="s">
        <v>138</v>
      </c>
      <c r="D63" s="32"/>
      <c r="E63" s="33">
        <f t="shared" ref="E63:AC63" si="14">+SUM(E50:E62)</f>
        <v>0</v>
      </c>
      <c r="F63" s="33">
        <f t="shared" si="14"/>
        <v>0</v>
      </c>
      <c r="G63" s="33">
        <f t="shared" si="14"/>
        <v>0</v>
      </c>
      <c r="H63" s="33">
        <f t="shared" si="14"/>
        <v>0</v>
      </c>
      <c r="I63" s="33">
        <f t="shared" si="14"/>
        <v>0</v>
      </c>
      <c r="J63" s="33">
        <f t="shared" si="14"/>
        <v>0</v>
      </c>
      <c r="K63" s="33">
        <f t="shared" si="14"/>
        <v>0</v>
      </c>
      <c r="L63" s="33">
        <f t="shared" si="14"/>
        <v>0</v>
      </c>
      <c r="M63" s="33">
        <f t="shared" si="14"/>
        <v>0</v>
      </c>
      <c r="N63" s="33">
        <f t="shared" si="14"/>
        <v>0</v>
      </c>
      <c r="O63" s="33">
        <f t="shared" si="14"/>
        <v>-179.13100000000003</v>
      </c>
      <c r="P63" s="33">
        <f t="shared" si="14"/>
        <v>0</v>
      </c>
      <c r="Q63" s="33">
        <f t="shared" si="14"/>
        <v>0</v>
      </c>
      <c r="R63" s="33">
        <f t="shared" si="14"/>
        <v>0</v>
      </c>
      <c r="S63" s="33">
        <f t="shared" si="14"/>
        <v>0</v>
      </c>
      <c r="T63" s="33">
        <f t="shared" si="14"/>
        <v>-31.676999999999992</v>
      </c>
      <c r="U63" s="33">
        <f t="shared" si="14"/>
        <v>-14.179</v>
      </c>
      <c r="V63" s="33">
        <f>+SUM(V50:V62)</f>
        <v>-15.4</v>
      </c>
      <c r="W63" s="33">
        <f t="shared" si="14"/>
        <v>-15.4</v>
      </c>
      <c r="X63" s="33">
        <f t="shared" si="14"/>
        <v>-15.4</v>
      </c>
      <c r="Y63" s="33">
        <f t="shared" si="14"/>
        <v>-60.378999999999998</v>
      </c>
      <c r="Z63" s="33">
        <f t="shared" si="14"/>
        <v>0</v>
      </c>
      <c r="AA63" s="33">
        <f t="shared" si="14"/>
        <v>0</v>
      </c>
      <c r="AB63" s="33">
        <f t="shared" si="14"/>
        <v>0</v>
      </c>
      <c r="AC63" s="33">
        <f t="shared" si="14"/>
        <v>0</v>
      </c>
      <c r="AD63" s="33">
        <f>+SUM(AD50:AD62)</f>
        <v>0</v>
      </c>
      <c r="AE63" s="199"/>
      <c r="AI63" s="21"/>
      <c r="AJ63" s="21"/>
    </row>
    <row r="64" spans="3:36" s="20" customFormat="1" ht="5.0999999999999996" customHeight="1" x14ac:dyDescent="0.2">
      <c r="C64" s="17"/>
      <c r="D64" s="17"/>
      <c r="E64" s="37"/>
      <c r="F64" s="37"/>
      <c r="G64" s="37"/>
      <c r="H64" s="37"/>
      <c r="I64" s="37"/>
      <c r="J64" s="37"/>
      <c r="K64" s="37"/>
      <c r="L64" s="37"/>
      <c r="M64" s="37"/>
      <c r="N64" s="37"/>
      <c r="O64" s="37"/>
      <c r="P64" s="37"/>
      <c r="Q64" s="37"/>
      <c r="R64" s="37"/>
      <c r="AE64" s="199"/>
      <c r="AI64" s="21"/>
      <c r="AJ64" s="21"/>
    </row>
    <row r="65" spans="3:36" s="20" customFormat="1" x14ac:dyDescent="0.2">
      <c r="C65" s="17" t="s">
        <v>841</v>
      </c>
      <c r="D65" s="17"/>
      <c r="E65" s="36"/>
      <c r="F65" s="36"/>
      <c r="G65" s="36"/>
      <c r="H65" s="36"/>
      <c r="I65" s="36"/>
      <c r="J65" s="36"/>
      <c r="K65" s="36"/>
      <c r="L65" s="36"/>
      <c r="M65" s="36"/>
      <c r="N65" s="36"/>
      <c r="O65" s="36">
        <v>440.25700000000001</v>
      </c>
      <c r="P65" s="36"/>
      <c r="Q65" s="36"/>
      <c r="R65" s="36"/>
      <c r="S65" s="34"/>
      <c r="T65" s="34">
        <v>247.03</v>
      </c>
      <c r="U65" s="34">
        <v>30</v>
      </c>
      <c r="V65" s="40">
        <v>0</v>
      </c>
      <c r="W65" s="40">
        <v>0</v>
      </c>
      <c r="X65" s="40">
        <v>0</v>
      </c>
      <c r="Y65" s="40">
        <f t="shared" ref="Y65:Y76" si="15">SUM(U65:X65)</f>
        <v>30</v>
      </c>
      <c r="Z65" s="40"/>
      <c r="AA65" s="40"/>
      <c r="AB65" s="40"/>
      <c r="AC65" s="40"/>
      <c r="AD65" s="40"/>
      <c r="AE65" s="199"/>
      <c r="AI65" s="21"/>
      <c r="AJ65" s="21"/>
    </row>
    <row r="66" spans="3:36" s="20" customFormat="1" x14ac:dyDescent="0.2">
      <c r="C66" s="17" t="s">
        <v>842</v>
      </c>
      <c r="D66" s="17"/>
      <c r="E66" s="36"/>
      <c r="F66" s="36"/>
      <c r="G66" s="36"/>
      <c r="H66" s="36"/>
      <c r="I66" s="36"/>
      <c r="J66" s="36"/>
      <c r="K66" s="36"/>
      <c r="L66" s="36"/>
      <c r="M66" s="36"/>
      <c r="N66" s="36"/>
      <c r="O66" s="36">
        <v>3.75</v>
      </c>
      <c r="P66" s="36"/>
      <c r="Q66" s="36"/>
      <c r="R66" s="36"/>
      <c r="S66" s="34"/>
      <c r="T66" s="34">
        <v>0</v>
      </c>
      <c r="U66" s="34">
        <v>-15.725</v>
      </c>
      <c r="V66" s="40">
        <v>0</v>
      </c>
      <c r="W66" s="40">
        <v>0</v>
      </c>
      <c r="X66" s="40">
        <v>0</v>
      </c>
      <c r="Y66" s="40">
        <f>SUM(U66:X66)</f>
        <v>-15.725</v>
      </c>
      <c r="Z66" s="40"/>
      <c r="AA66" s="40"/>
      <c r="AB66" s="40"/>
      <c r="AC66" s="40"/>
      <c r="AD66" s="40"/>
      <c r="AE66" s="199"/>
      <c r="AI66" s="21"/>
      <c r="AJ66" s="21"/>
    </row>
    <row r="67" spans="3:36" s="20" customFormat="1" x14ac:dyDescent="0.2">
      <c r="C67" s="17" t="s">
        <v>843</v>
      </c>
      <c r="D67" s="17"/>
      <c r="E67" s="36"/>
      <c r="F67" s="36"/>
      <c r="G67" s="36"/>
      <c r="H67" s="36"/>
      <c r="I67" s="36"/>
      <c r="J67" s="36"/>
      <c r="K67" s="36"/>
      <c r="L67" s="36"/>
      <c r="M67" s="36"/>
      <c r="N67" s="36"/>
      <c r="O67" s="36">
        <v>-415.90100000000001</v>
      </c>
      <c r="P67" s="36"/>
      <c r="Q67" s="36"/>
      <c r="R67" s="36"/>
      <c r="S67" s="34"/>
      <c r="T67" s="34">
        <v>-309.06400000000002</v>
      </c>
      <c r="U67" s="34">
        <v>0</v>
      </c>
      <c r="V67" s="200">
        <f>-$U$116/3</f>
        <v>-83.63933333333334</v>
      </c>
      <c r="W67" s="200">
        <f>-$U$116/3</f>
        <v>-83.63933333333334</v>
      </c>
      <c r="X67" s="200">
        <f>-$U$116/3</f>
        <v>-83.63933333333334</v>
      </c>
      <c r="Y67" s="200">
        <f t="shared" si="15"/>
        <v>-250.91800000000001</v>
      </c>
      <c r="Z67" s="200"/>
      <c r="AA67" s="200"/>
      <c r="AB67" s="200"/>
      <c r="AC67" s="200"/>
      <c r="AD67" s="200"/>
      <c r="AE67" s="199"/>
      <c r="AI67" s="21"/>
      <c r="AJ67" s="21"/>
    </row>
    <row r="68" spans="3:36" s="20" customFormat="1" x14ac:dyDescent="0.2">
      <c r="C68" s="17" t="s">
        <v>844</v>
      </c>
      <c r="D68" s="17"/>
      <c r="E68" s="36"/>
      <c r="F68" s="36"/>
      <c r="G68" s="36"/>
      <c r="H68" s="36"/>
      <c r="I68" s="36"/>
      <c r="J68" s="36"/>
      <c r="K68" s="36"/>
      <c r="L68" s="36"/>
      <c r="M68" s="36"/>
      <c r="N68" s="36"/>
      <c r="O68" s="36">
        <v>-22.5</v>
      </c>
      <c r="P68" s="36"/>
      <c r="Q68" s="36"/>
      <c r="R68" s="36"/>
      <c r="S68" s="34"/>
      <c r="T68" s="34">
        <v>0</v>
      </c>
      <c r="U68" s="34"/>
      <c r="V68" s="40">
        <v>0</v>
      </c>
      <c r="W68" s="40">
        <v>0</v>
      </c>
      <c r="X68" s="40">
        <v>0</v>
      </c>
      <c r="Y68" s="40">
        <f t="shared" si="15"/>
        <v>0</v>
      </c>
      <c r="Z68" s="40"/>
      <c r="AA68" s="40"/>
      <c r="AB68" s="40"/>
      <c r="AC68" s="40"/>
      <c r="AD68" s="40"/>
      <c r="AE68" s="199"/>
      <c r="AI68" s="21"/>
      <c r="AJ68" s="21"/>
    </row>
    <row r="69" spans="3:36" s="20" customFormat="1" x14ac:dyDescent="0.2">
      <c r="C69" s="17" t="s">
        <v>845</v>
      </c>
      <c r="D69" s="17"/>
      <c r="E69" s="36"/>
      <c r="F69" s="36"/>
      <c r="G69" s="36"/>
      <c r="H69" s="36"/>
      <c r="I69" s="36"/>
      <c r="J69" s="36"/>
      <c r="K69" s="36"/>
      <c r="L69" s="36"/>
      <c r="M69" s="36"/>
      <c r="N69" s="36"/>
      <c r="O69" s="36">
        <v>-0.55800000000000005</v>
      </c>
      <c r="P69" s="36"/>
      <c r="Q69" s="36"/>
      <c r="R69" s="36"/>
      <c r="S69" s="34"/>
      <c r="T69" s="34">
        <v>-5.4290000000000003</v>
      </c>
      <c r="U69" s="34">
        <v>0</v>
      </c>
      <c r="V69" s="40">
        <v>0</v>
      </c>
      <c r="W69" s="40">
        <v>0</v>
      </c>
      <c r="X69" s="40">
        <v>0</v>
      </c>
      <c r="Y69" s="40">
        <f t="shared" si="15"/>
        <v>0</v>
      </c>
      <c r="Z69" s="40"/>
      <c r="AA69" s="40"/>
      <c r="AB69" s="40"/>
      <c r="AC69" s="40"/>
      <c r="AD69" s="40"/>
      <c r="AE69" s="199"/>
      <c r="AI69" s="21"/>
      <c r="AJ69" s="21"/>
    </row>
    <row r="70" spans="3:36" s="20" customFormat="1" x14ac:dyDescent="0.2">
      <c r="C70" s="17" t="s">
        <v>846</v>
      </c>
      <c r="D70" s="17"/>
      <c r="E70" s="36"/>
      <c r="F70" s="36"/>
      <c r="G70" s="36"/>
      <c r="H70" s="36"/>
      <c r="I70" s="36"/>
      <c r="J70" s="36"/>
      <c r="K70" s="36"/>
      <c r="L70" s="36"/>
      <c r="M70" s="36"/>
      <c r="N70" s="36"/>
      <c r="O70" s="36">
        <v>-231.08600000000001</v>
      </c>
      <c r="P70" s="36"/>
      <c r="Q70" s="36"/>
      <c r="R70" s="36"/>
      <c r="S70" s="34"/>
      <c r="T70" s="34">
        <v>-390.15300000000002</v>
      </c>
      <c r="U70" s="34">
        <v>-113.896</v>
      </c>
      <c r="V70" s="40">
        <v>0</v>
      </c>
      <c r="W70" s="40">
        <v>0</v>
      </c>
      <c r="X70" s="40">
        <v>0</v>
      </c>
      <c r="Y70" s="40">
        <f t="shared" si="15"/>
        <v>-113.896</v>
      </c>
      <c r="Z70" s="40"/>
      <c r="AA70" s="40"/>
      <c r="AB70" s="40"/>
      <c r="AC70" s="40"/>
      <c r="AD70" s="40"/>
      <c r="AE70" s="199"/>
      <c r="AI70" s="21"/>
      <c r="AJ70" s="21"/>
    </row>
    <row r="71" spans="3:36" s="20" customFormat="1" x14ac:dyDescent="0.2">
      <c r="C71" s="17" t="s">
        <v>847</v>
      </c>
      <c r="D71" s="17"/>
      <c r="E71" s="36"/>
      <c r="F71" s="36"/>
      <c r="G71" s="36"/>
      <c r="H71" s="36"/>
      <c r="I71" s="36"/>
      <c r="J71" s="36"/>
      <c r="K71" s="36"/>
      <c r="L71" s="36"/>
      <c r="M71" s="36"/>
      <c r="N71" s="36"/>
      <c r="O71" s="36">
        <v>-1.99</v>
      </c>
      <c r="P71" s="36"/>
      <c r="Q71" s="36"/>
      <c r="R71" s="36"/>
      <c r="S71" s="34"/>
      <c r="T71" s="34">
        <v>-3.9969999999999999</v>
      </c>
      <c r="U71" s="34"/>
      <c r="V71" s="40">
        <v>0</v>
      </c>
      <c r="W71" s="40">
        <v>0</v>
      </c>
      <c r="X71" s="40">
        <v>0</v>
      </c>
      <c r="Y71" s="40">
        <f t="shared" si="15"/>
        <v>0</v>
      </c>
      <c r="Z71" s="40"/>
      <c r="AA71" s="40"/>
      <c r="AB71" s="40"/>
      <c r="AC71" s="40"/>
      <c r="AD71" s="40"/>
      <c r="AE71" s="199"/>
      <c r="AI71" s="21"/>
      <c r="AJ71" s="21"/>
    </row>
    <row r="72" spans="3:36" s="20" customFormat="1" x14ac:dyDescent="0.2">
      <c r="C72" s="17" t="s">
        <v>848</v>
      </c>
      <c r="D72" s="17"/>
      <c r="E72" s="36"/>
      <c r="F72" s="36"/>
      <c r="G72" s="36"/>
      <c r="H72" s="36"/>
      <c r="I72" s="36"/>
      <c r="J72" s="36"/>
      <c r="K72" s="36"/>
      <c r="L72" s="36"/>
      <c r="M72" s="36"/>
      <c r="N72" s="36"/>
      <c r="O72" s="36">
        <v>-87.843000000000004</v>
      </c>
      <c r="P72" s="36"/>
      <c r="Q72" s="36"/>
      <c r="R72" s="36"/>
      <c r="S72" s="34"/>
      <c r="T72" s="34">
        <v>-73.634</v>
      </c>
      <c r="U72" s="34">
        <v>-13.865</v>
      </c>
      <c r="V72" s="40">
        <v>0</v>
      </c>
      <c r="W72" s="40">
        <v>0</v>
      </c>
      <c r="X72" s="40">
        <v>0</v>
      </c>
      <c r="Y72" s="40">
        <f t="shared" si="15"/>
        <v>-13.865</v>
      </c>
      <c r="Z72" s="40"/>
      <c r="AA72" s="40"/>
      <c r="AB72" s="40"/>
      <c r="AC72" s="40"/>
      <c r="AD72" s="40"/>
      <c r="AE72" s="199"/>
      <c r="AI72" s="21"/>
      <c r="AJ72" s="21"/>
    </row>
    <row r="73" spans="3:36" s="20" customFormat="1" x14ac:dyDescent="0.2">
      <c r="C73" s="17" t="s">
        <v>849</v>
      </c>
      <c r="D73" s="17"/>
      <c r="E73" s="36"/>
      <c r="F73" s="36"/>
      <c r="G73" s="36"/>
      <c r="H73" s="36"/>
      <c r="I73" s="36"/>
      <c r="J73" s="36"/>
      <c r="K73" s="36"/>
      <c r="L73" s="36"/>
      <c r="M73" s="36"/>
      <c r="N73" s="36"/>
      <c r="O73" s="36">
        <v>-2.4E-2</v>
      </c>
      <c r="P73" s="36"/>
      <c r="Q73" s="36"/>
      <c r="R73" s="36"/>
      <c r="S73" s="34"/>
      <c r="T73" s="34">
        <v>-5.7069999999999999</v>
      </c>
      <c r="U73" s="34"/>
      <c r="V73" s="40">
        <v>0</v>
      </c>
      <c r="W73" s="40">
        <v>0</v>
      </c>
      <c r="X73" s="40">
        <v>0</v>
      </c>
      <c r="Y73" s="40">
        <f t="shared" si="15"/>
        <v>0</v>
      </c>
      <c r="Z73" s="40"/>
      <c r="AA73" s="40"/>
      <c r="AB73" s="40"/>
      <c r="AC73" s="40"/>
      <c r="AD73" s="40"/>
      <c r="AE73" s="199"/>
      <c r="AI73" s="21"/>
      <c r="AJ73" s="21"/>
    </row>
    <row r="74" spans="3:36" s="20" customFormat="1" x14ac:dyDescent="0.2">
      <c r="C74" s="17" t="s">
        <v>850</v>
      </c>
      <c r="D74" s="17"/>
      <c r="E74" s="36"/>
      <c r="F74" s="36"/>
      <c r="G74" s="36"/>
      <c r="H74" s="36"/>
      <c r="I74" s="36"/>
      <c r="J74" s="36"/>
      <c r="K74" s="36"/>
      <c r="L74" s="36"/>
      <c r="M74" s="36"/>
      <c r="N74" s="36"/>
      <c r="O74" s="36">
        <v>1.4590000000000001</v>
      </c>
      <c r="P74" s="36"/>
      <c r="Q74" s="36"/>
      <c r="R74" s="36"/>
      <c r="S74" s="34"/>
      <c r="T74" s="34">
        <v>9.2859999999999996</v>
      </c>
      <c r="U74" s="34">
        <v>0.40799999999999997</v>
      </c>
      <c r="V74" s="40">
        <v>0</v>
      </c>
      <c r="W74" s="40">
        <v>0</v>
      </c>
      <c r="X74" s="40">
        <v>0</v>
      </c>
      <c r="Y74" s="40">
        <f t="shared" si="15"/>
        <v>0.40799999999999997</v>
      </c>
      <c r="Z74" s="40"/>
      <c r="AA74" s="40"/>
      <c r="AB74" s="40"/>
      <c r="AC74" s="40"/>
      <c r="AD74" s="40"/>
      <c r="AE74" s="199"/>
      <c r="AI74" s="21"/>
      <c r="AJ74" s="21"/>
    </row>
    <row r="75" spans="3:36" s="20" customFormat="1" x14ac:dyDescent="0.2">
      <c r="C75" s="17" t="s">
        <v>851</v>
      </c>
      <c r="D75" s="17"/>
      <c r="E75" s="36"/>
      <c r="F75" s="36"/>
      <c r="G75" s="36"/>
      <c r="H75" s="36"/>
      <c r="I75" s="36"/>
      <c r="J75" s="36"/>
      <c r="K75" s="36"/>
      <c r="L75" s="36"/>
      <c r="M75" s="36"/>
      <c r="N75" s="36"/>
      <c r="O75" s="36">
        <v>97.78</v>
      </c>
      <c r="P75" s="36"/>
      <c r="Q75" s="36"/>
      <c r="R75" s="36"/>
      <c r="S75" s="34"/>
      <c r="T75" s="34">
        <v>0</v>
      </c>
      <c r="U75" s="34"/>
      <c r="V75" s="40">
        <v>0</v>
      </c>
      <c r="W75" s="40">
        <v>0</v>
      </c>
      <c r="X75" s="40">
        <v>0</v>
      </c>
      <c r="Y75" s="40">
        <f t="shared" si="15"/>
        <v>0</v>
      </c>
      <c r="Z75" s="40"/>
      <c r="AA75" s="40"/>
      <c r="AB75" s="40"/>
      <c r="AC75" s="40"/>
      <c r="AD75" s="40"/>
      <c r="AE75" s="199"/>
      <c r="AI75" s="21"/>
      <c r="AJ75" s="21"/>
    </row>
    <row r="76" spans="3:36" s="20" customFormat="1" x14ac:dyDescent="0.2">
      <c r="C76" s="17" t="s">
        <v>852</v>
      </c>
      <c r="D76" s="17"/>
      <c r="E76" s="36"/>
      <c r="F76" s="36"/>
      <c r="G76" s="36"/>
      <c r="H76" s="36"/>
      <c r="I76" s="36"/>
      <c r="J76" s="36"/>
      <c r="K76" s="36"/>
      <c r="L76" s="36"/>
      <c r="M76" s="36"/>
      <c r="N76" s="36"/>
      <c r="O76" s="36">
        <v>-1.17</v>
      </c>
      <c r="P76" s="36"/>
      <c r="Q76" s="36"/>
      <c r="R76" s="36"/>
      <c r="S76" s="34"/>
      <c r="T76" s="34">
        <v>0</v>
      </c>
      <c r="U76" s="34"/>
      <c r="V76" s="40">
        <v>0</v>
      </c>
      <c r="W76" s="40">
        <v>0</v>
      </c>
      <c r="X76" s="40">
        <v>0</v>
      </c>
      <c r="Y76" s="40">
        <f t="shared" si="15"/>
        <v>0</v>
      </c>
      <c r="Z76" s="40"/>
      <c r="AA76" s="40"/>
      <c r="AB76" s="40"/>
      <c r="AC76" s="40"/>
      <c r="AD76" s="40"/>
      <c r="AE76" s="199"/>
      <c r="AI76" s="21"/>
      <c r="AJ76" s="21"/>
    </row>
    <row r="77" spans="3:36" s="20" customFormat="1" x14ac:dyDescent="0.2">
      <c r="C77" s="17" t="s">
        <v>135</v>
      </c>
      <c r="D77" s="17"/>
      <c r="E77" s="36"/>
      <c r="F77" s="36"/>
      <c r="G77" s="36"/>
      <c r="H77" s="36"/>
      <c r="I77" s="36"/>
      <c r="J77" s="36"/>
      <c r="K77" s="36"/>
      <c r="L77" s="36"/>
      <c r="M77" s="36"/>
      <c r="N77" s="36"/>
      <c r="O77" s="36">
        <v>-243.74799999999999</v>
      </c>
      <c r="P77" s="36"/>
      <c r="Q77" s="36"/>
      <c r="R77" s="36"/>
      <c r="S77" s="34"/>
      <c r="T77" s="34">
        <v>-544.13599999999997</v>
      </c>
      <c r="U77" s="34">
        <v>-123.52</v>
      </c>
      <c r="V77" s="40">
        <f>-V129*V128</f>
        <v>-189.39952475679129</v>
      </c>
      <c r="W77" s="40">
        <f>-W129*W128</f>
        <v>-138.04995588630106</v>
      </c>
      <c r="X77" s="40">
        <f>-X129*X128</f>
        <v>-251.10920508630181</v>
      </c>
      <c r="Y77" s="182">
        <f>SUM(U77:X77)</f>
        <v>-702.07868572939424</v>
      </c>
      <c r="Z77" s="40"/>
      <c r="AA77" s="40"/>
      <c r="AB77" s="40"/>
      <c r="AC77" s="40"/>
      <c r="AD77" s="40"/>
      <c r="AE77" s="199"/>
      <c r="AI77" s="21"/>
      <c r="AJ77" s="21"/>
    </row>
    <row r="78" spans="3:36" s="20" customFormat="1" x14ac:dyDescent="0.2">
      <c r="C78" s="17" t="s">
        <v>853</v>
      </c>
      <c r="D78" s="17"/>
      <c r="E78" s="36"/>
      <c r="F78" s="36"/>
      <c r="G78" s="36"/>
      <c r="H78" s="36"/>
      <c r="I78" s="36"/>
      <c r="J78" s="36"/>
      <c r="K78" s="36"/>
      <c r="L78" s="36"/>
      <c r="M78" s="36"/>
      <c r="N78" s="36"/>
      <c r="O78" s="36">
        <v>-3.5579999999999998</v>
      </c>
      <c r="P78" s="36"/>
      <c r="Q78" s="36"/>
      <c r="R78" s="36"/>
      <c r="S78" s="34"/>
      <c r="T78" s="34">
        <v>-11.129</v>
      </c>
      <c r="U78" s="34">
        <v>-3.6419999999999999</v>
      </c>
      <c r="V78" s="40">
        <v>0</v>
      </c>
      <c r="W78" s="40">
        <v>0</v>
      </c>
      <c r="X78" s="40">
        <v>0</v>
      </c>
      <c r="Y78" s="40">
        <f>SUM(U78:X78)</f>
        <v>-3.6419999999999999</v>
      </c>
      <c r="Z78" s="40"/>
      <c r="AA78" s="40"/>
      <c r="AB78" s="40"/>
      <c r="AC78" s="40"/>
      <c r="AD78" s="40"/>
      <c r="AE78" s="199"/>
      <c r="AI78" s="21"/>
      <c r="AJ78" s="21"/>
    </row>
    <row r="79" spans="3:36" s="20" customFormat="1" x14ac:dyDescent="0.2">
      <c r="C79" s="17"/>
      <c r="D79" s="17"/>
      <c r="E79" s="36"/>
      <c r="F79" s="36"/>
      <c r="G79" s="36"/>
      <c r="H79" s="36"/>
      <c r="I79" s="36"/>
      <c r="J79" s="36"/>
      <c r="K79" s="36"/>
      <c r="L79" s="36"/>
      <c r="M79" s="36"/>
      <c r="N79" s="36"/>
      <c r="O79" s="36"/>
      <c r="P79" s="36"/>
      <c r="Q79" s="36"/>
      <c r="R79" s="36"/>
      <c r="S79" s="34"/>
      <c r="T79" s="34"/>
      <c r="U79" s="34"/>
      <c r="V79" s="40"/>
      <c r="W79" s="40"/>
      <c r="X79" s="40"/>
      <c r="Y79" s="40"/>
      <c r="Z79" s="40"/>
      <c r="AA79" s="40"/>
      <c r="AB79" s="40"/>
      <c r="AC79" s="40"/>
      <c r="AD79" s="40"/>
      <c r="AE79" s="199"/>
      <c r="AI79" s="21"/>
      <c r="AJ79" s="21"/>
    </row>
    <row r="80" spans="3:36" s="20" customFormat="1" x14ac:dyDescent="0.2">
      <c r="C80" s="32" t="s">
        <v>140</v>
      </c>
      <c r="D80" s="32"/>
      <c r="E80" s="33">
        <f t="shared" ref="E80:AD80" si="16">SUM(E65:E79)</f>
        <v>0</v>
      </c>
      <c r="F80" s="33">
        <f t="shared" si="16"/>
        <v>0</v>
      </c>
      <c r="G80" s="33">
        <f t="shared" si="16"/>
        <v>0</v>
      </c>
      <c r="H80" s="33">
        <f t="shared" si="16"/>
        <v>0</v>
      </c>
      <c r="I80" s="33">
        <f t="shared" si="16"/>
        <v>0</v>
      </c>
      <c r="J80" s="33">
        <f t="shared" si="16"/>
        <v>0</v>
      </c>
      <c r="K80" s="33">
        <f t="shared" si="16"/>
        <v>0</v>
      </c>
      <c r="L80" s="33">
        <f t="shared" si="16"/>
        <v>0</v>
      </c>
      <c r="M80" s="33">
        <f t="shared" si="16"/>
        <v>0</v>
      </c>
      <c r="N80" s="33">
        <f t="shared" si="16"/>
        <v>0</v>
      </c>
      <c r="O80" s="33">
        <f t="shared" si="16"/>
        <v>-465.13200000000001</v>
      </c>
      <c r="P80" s="33">
        <f t="shared" si="16"/>
        <v>0</v>
      </c>
      <c r="Q80" s="33">
        <f t="shared" si="16"/>
        <v>0</v>
      </c>
      <c r="R80" s="33">
        <f t="shared" si="16"/>
        <v>0</v>
      </c>
      <c r="S80" s="33">
        <f t="shared" si="16"/>
        <v>0</v>
      </c>
      <c r="T80" s="33">
        <f t="shared" si="16"/>
        <v>-1086.933</v>
      </c>
      <c r="U80" s="33">
        <f t="shared" si="16"/>
        <v>-240.23999999999998</v>
      </c>
      <c r="V80" s="33">
        <f t="shared" si="16"/>
        <v>-273.03885809012462</v>
      </c>
      <c r="W80" s="33">
        <f t="shared" si="16"/>
        <v>-221.68928921963442</v>
      </c>
      <c r="X80" s="33">
        <f>SUM(X65:X79)</f>
        <v>-334.74853841963517</v>
      </c>
      <c r="Y80" s="33">
        <f t="shared" si="16"/>
        <v>-1069.7166857293944</v>
      </c>
      <c r="Z80" s="33">
        <f t="shared" si="16"/>
        <v>0</v>
      </c>
      <c r="AA80" s="33">
        <f t="shared" si="16"/>
        <v>0</v>
      </c>
      <c r="AB80" s="33">
        <f t="shared" si="16"/>
        <v>0</v>
      </c>
      <c r="AC80" s="33">
        <f t="shared" si="16"/>
        <v>0</v>
      </c>
      <c r="AD80" s="33">
        <f t="shared" si="16"/>
        <v>0</v>
      </c>
      <c r="AE80" s="199"/>
      <c r="AI80" s="21"/>
      <c r="AJ80" s="21"/>
    </row>
    <row r="81" spans="3:36" s="20" customFormat="1" ht="5.0999999999999996" customHeight="1" x14ac:dyDescent="0.2">
      <c r="C81" s="17"/>
      <c r="D81" s="1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199"/>
      <c r="AI81" s="21"/>
      <c r="AJ81" s="21"/>
    </row>
    <row r="82" spans="3:36" s="20" customFormat="1" x14ac:dyDescent="0.2">
      <c r="C82" s="32" t="s">
        <v>141</v>
      </c>
      <c r="D82" s="32"/>
      <c r="E82" s="33">
        <f t="shared" ref="E82:AD82" si="17">+E80+E63+E47</f>
        <v>0</v>
      </c>
      <c r="F82" s="33">
        <f t="shared" si="17"/>
        <v>0</v>
      </c>
      <c r="G82" s="33">
        <f t="shared" si="17"/>
        <v>0</v>
      </c>
      <c r="H82" s="33">
        <f t="shared" si="17"/>
        <v>0</v>
      </c>
      <c r="I82" s="33">
        <f t="shared" si="17"/>
        <v>0</v>
      </c>
      <c r="J82" s="33">
        <f t="shared" si="17"/>
        <v>0</v>
      </c>
      <c r="K82" s="33">
        <f t="shared" si="17"/>
        <v>0</v>
      </c>
      <c r="L82" s="33">
        <f t="shared" si="17"/>
        <v>0</v>
      </c>
      <c r="M82" s="33">
        <f t="shared" si="17"/>
        <v>0</v>
      </c>
      <c r="N82" s="33">
        <f t="shared" si="17"/>
        <v>0</v>
      </c>
      <c r="O82" s="33">
        <f t="shared" si="17"/>
        <v>126.59399999999982</v>
      </c>
      <c r="P82" s="33">
        <f t="shared" si="17"/>
        <v>0</v>
      </c>
      <c r="Q82" s="33">
        <f t="shared" si="17"/>
        <v>0</v>
      </c>
      <c r="R82" s="33">
        <f t="shared" si="17"/>
        <v>0</v>
      </c>
      <c r="S82" s="33">
        <f t="shared" si="17"/>
        <v>0</v>
      </c>
      <c r="T82" s="33">
        <f t="shared" si="17"/>
        <v>-57.804000000000087</v>
      </c>
      <c r="U82" s="33">
        <f t="shared" si="17"/>
        <v>-5.9009999999999536</v>
      </c>
      <c r="V82" s="33">
        <f t="shared" si="17"/>
        <v>2.4105478558644791</v>
      </c>
      <c r="W82" s="33">
        <f t="shared" si="17"/>
        <v>-10.4268443617581</v>
      </c>
      <c r="X82" s="33">
        <f>+X80+X63+X47</f>
        <v>17.837967938242116</v>
      </c>
      <c r="Y82" s="33">
        <f>+Y80+Y63+Y47</f>
        <v>3.9206714323483993</v>
      </c>
      <c r="Z82" s="33" t="e">
        <f t="shared" si="17"/>
        <v>#REF!</v>
      </c>
      <c r="AA82" s="33" t="e">
        <f t="shared" si="17"/>
        <v>#REF!</v>
      </c>
      <c r="AB82" s="33" t="e">
        <f t="shared" si="17"/>
        <v>#REF!</v>
      </c>
      <c r="AC82" s="33" t="e">
        <f t="shared" si="17"/>
        <v>#REF!</v>
      </c>
      <c r="AD82" s="33" t="e">
        <f t="shared" si="17"/>
        <v>#REF!</v>
      </c>
      <c r="AE82" s="199"/>
      <c r="AI82" s="21"/>
      <c r="AJ82" s="21"/>
    </row>
    <row r="83" spans="3:36" s="20" customFormat="1" x14ac:dyDescent="0.2">
      <c r="C83" s="17" t="s">
        <v>142</v>
      </c>
      <c r="D83" s="17"/>
      <c r="E83" s="34">
        <v>0</v>
      </c>
      <c r="F83" s="34">
        <v>0</v>
      </c>
      <c r="G83" s="34">
        <v>0</v>
      </c>
      <c r="H83" s="34">
        <v>0</v>
      </c>
      <c r="I83" s="34">
        <v>0</v>
      </c>
      <c r="J83" s="34">
        <v>0</v>
      </c>
      <c r="K83" s="34">
        <v>0</v>
      </c>
      <c r="L83" s="34">
        <v>0</v>
      </c>
      <c r="M83" s="34">
        <v>0</v>
      </c>
      <c r="N83" s="34">
        <v>0</v>
      </c>
      <c r="O83" s="34">
        <v>0</v>
      </c>
      <c r="P83" s="34">
        <v>0</v>
      </c>
      <c r="Q83" s="34">
        <v>0</v>
      </c>
      <c r="R83" s="34">
        <v>0</v>
      </c>
      <c r="AE83" s="199"/>
      <c r="AI83" s="21"/>
      <c r="AJ83" s="21"/>
    </row>
    <row r="84" spans="3:36" s="20" customFormat="1" x14ac:dyDescent="0.2">
      <c r="C84" s="17" t="s">
        <v>143</v>
      </c>
      <c r="D84" s="17"/>
      <c r="E84" s="34">
        <v>150.24299999999999</v>
      </c>
      <c r="F84" s="39">
        <f t="shared" ref="F84:AC84" si="18">+E85</f>
        <v>150.24299999999999</v>
      </c>
      <c r="G84" s="39">
        <f t="shared" si="18"/>
        <v>150.24299999999999</v>
      </c>
      <c r="H84" s="39">
        <f t="shared" si="18"/>
        <v>150.24299999999999</v>
      </c>
      <c r="I84" s="39">
        <f t="shared" si="18"/>
        <v>150.24299999999999</v>
      </c>
      <c r="J84" s="39">
        <f>+E85</f>
        <v>150.24299999999999</v>
      </c>
      <c r="K84" s="39">
        <f t="shared" si="18"/>
        <v>150.24299999999999</v>
      </c>
      <c r="L84" s="39">
        <f t="shared" si="18"/>
        <v>150.24299999999999</v>
      </c>
      <c r="M84" s="39">
        <f t="shared" si="18"/>
        <v>150.24299999999999</v>
      </c>
      <c r="N84" s="39">
        <f t="shared" si="18"/>
        <v>150.24299999999999</v>
      </c>
      <c r="O84" s="39">
        <v>153.70099999999999</v>
      </c>
      <c r="P84" s="39">
        <f t="shared" si="18"/>
        <v>280.29499999999985</v>
      </c>
      <c r="Q84" s="39">
        <f t="shared" si="18"/>
        <v>280.29499999999985</v>
      </c>
      <c r="R84" s="39">
        <f t="shared" si="18"/>
        <v>280.29499999999985</v>
      </c>
      <c r="S84" s="39">
        <f t="shared" si="18"/>
        <v>280.29499999999985</v>
      </c>
      <c r="T84" s="39">
        <f>+O85</f>
        <v>280.29499999999985</v>
      </c>
      <c r="U84" s="39">
        <f>+T85</f>
        <v>222.49099999999976</v>
      </c>
      <c r="V84" s="39">
        <f>+U85</f>
        <v>216.5899999999998</v>
      </c>
      <c r="W84" s="39">
        <f t="shared" si="18"/>
        <v>219.00054785586428</v>
      </c>
      <c r="X84" s="39">
        <f t="shared" si="18"/>
        <v>208.57370349410618</v>
      </c>
      <c r="Y84" s="39">
        <f>+T85</f>
        <v>222.49099999999976</v>
      </c>
      <c r="Z84" s="39">
        <f t="shared" si="18"/>
        <v>226.41167143234816</v>
      </c>
      <c r="AA84" s="39" t="e">
        <f t="shared" si="18"/>
        <v>#REF!</v>
      </c>
      <c r="AB84" s="39" t="e">
        <f t="shared" si="18"/>
        <v>#REF!</v>
      </c>
      <c r="AC84" s="39" t="e">
        <f t="shared" si="18"/>
        <v>#REF!</v>
      </c>
      <c r="AD84" s="39">
        <f>+Y85</f>
        <v>226.41167143234816</v>
      </c>
      <c r="AE84" s="199"/>
      <c r="AI84" s="21"/>
      <c r="AJ84" s="21"/>
    </row>
    <row r="85" spans="3:36" s="20" customFormat="1" x14ac:dyDescent="0.2">
      <c r="C85" s="32" t="s">
        <v>144</v>
      </c>
      <c r="D85" s="32"/>
      <c r="E85" s="33">
        <f>+E82+E83+E84</f>
        <v>150.24299999999999</v>
      </c>
      <c r="F85" s="33">
        <f t="shared" ref="F85:AD85" si="19">+F82+F83+F84</f>
        <v>150.24299999999999</v>
      </c>
      <c r="G85" s="33">
        <f t="shared" si="19"/>
        <v>150.24299999999999</v>
      </c>
      <c r="H85" s="33">
        <f t="shared" si="19"/>
        <v>150.24299999999999</v>
      </c>
      <c r="I85" s="33">
        <f t="shared" si="19"/>
        <v>150.24299999999999</v>
      </c>
      <c r="J85" s="33">
        <f t="shared" si="19"/>
        <v>150.24299999999999</v>
      </c>
      <c r="K85" s="33">
        <f t="shared" si="19"/>
        <v>150.24299999999999</v>
      </c>
      <c r="L85" s="33">
        <f t="shared" si="19"/>
        <v>150.24299999999999</v>
      </c>
      <c r="M85" s="33">
        <f t="shared" si="19"/>
        <v>150.24299999999999</v>
      </c>
      <c r="N85" s="33">
        <f t="shared" si="19"/>
        <v>150.24299999999999</v>
      </c>
      <c r="O85" s="33">
        <f>+O82+O83+O84</f>
        <v>280.29499999999985</v>
      </c>
      <c r="P85" s="33">
        <f t="shared" si="19"/>
        <v>280.29499999999985</v>
      </c>
      <c r="Q85" s="33">
        <f t="shared" si="19"/>
        <v>280.29499999999985</v>
      </c>
      <c r="R85" s="33">
        <f t="shared" si="19"/>
        <v>280.29499999999985</v>
      </c>
      <c r="S85" s="33">
        <f t="shared" si="19"/>
        <v>280.29499999999985</v>
      </c>
      <c r="T85" s="33">
        <f t="shared" si="19"/>
        <v>222.49099999999976</v>
      </c>
      <c r="U85" s="33">
        <f t="shared" si="19"/>
        <v>216.5899999999998</v>
      </c>
      <c r="V85" s="33">
        <f t="shared" si="19"/>
        <v>219.00054785586428</v>
      </c>
      <c r="W85" s="33">
        <f t="shared" si="19"/>
        <v>208.57370349410618</v>
      </c>
      <c r="X85" s="33">
        <f t="shared" si="19"/>
        <v>226.4116714323483</v>
      </c>
      <c r="Y85" s="33">
        <f>+Y82+Y83+Y84</f>
        <v>226.41167143234816</v>
      </c>
      <c r="Z85" s="33" t="e">
        <f t="shared" si="19"/>
        <v>#REF!</v>
      </c>
      <c r="AA85" s="33" t="e">
        <f t="shared" si="19"/>
        <v>#REF!</v>
      </c>
      <c r="AB85" s="33" t="e">
        <f t="shared" si="19"/>
        <v>#REF!</v>
      </c>
      <c r="AC85" s="33" t="e">
        <f t="shared" si="19"/>
        <v>#REF!</v>
      </c>
      <c r="AD85" s="33" t="e">
        <f t="shared" si="19"/>
        <v>#REF!</v>
      </c>
      <c r="AE85" s="199"/>
      <c r="AI85" s="21"/>
      <c r="AJ85" s="21"/>
    </row>
    <row r="86" spans="3:36" s="20" customFormat="1" x14ac:dyDescent="0.2">
      <c r="C86" s="17"/>
      <c r="D86" s="17"/>
      <c r="E86" s="37"/>
      <c r="F86" s="37"/>
      <c r="G86" s="37"/>
      <c r="H86" s="37"/>
      <c r="I86" s="37"/>
      <c r="J86" s="37"/>
      <c r="K86" s="37"/>
      <c r="L86" s="37"/>
      <c r="M86" s="37"/>
      <c r="N86" s="37"/>
      <c r="O86" s="37"/>
      <c r="P86" s="37"/>
      <c r="Q86" s="37"/>
      <c r="R86" s="37"/>
      <c r="AE86" s="199"/>
      <c r="AI86" s="21"/>
      <c r="AJ86" s="21"/>
    </row>
    <row r="87" spans="3:36" s="20" customFormat="1" x14ac:dyDescent="0.2">
      <c r="C87" s="30" t="s">
        <v>145</v>
      </c>
      <c r="D87" s="30"/>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199"/>
      <c r="AI87" s="21"/>
      <c r="AJ87" s="21"/>
    </row>
    <row r="88" spans="3:36" s="20" customFormat="1" x14ac:dyDescent="0.2">
      <c r="C88" s="17" t="s">
        <v>854</v>
      </c>
      <c r="D88" s="17"/>
      <c r="E88" s="36"/>
      <c r="F88" s="36"/>
      <c r="G88" s="36"/>
      <c r="H88" s="36"/>
      <c r="I88" s="36"/>
      <c r="J88" s="36"/>
      <c r="K88" s="36"/>
      <c r="L88" s="36"/>
      <c r="M88" s="36"/>
      <c r="N88" s="36"/>
      <c r="O88" s="36">
        <v>2728.319</v>
      </c>
      <c r="P88" s="36"/>
      <c r="Q88" s="36"/>
      <c r="R88" s="36"/>
      <c r="S88" s="34"/>
      <c r="T88" s="34">
        <v>2673.9380000000001</v>
      </c>
      <c r="U88" s="34">
        <v>2642.8690000000001</v>
      </c>
      <c r="V88" s="40">
        <f>U88+V22-V61</f>
        <v>2604.1690000000003</v>
      </c>
      <c r="W88" s="40">
        <f t="shared" ref="W88:X88" si="20">V88+W22-W61</f>
        <v>2565.4690000000005</v>
      </c>
      <c r="X88" s="40">
        <f t="shared" si="20"/>
        <v>2526.7690000000007</v>
      </c>
      <c r="Y88" s="130">
        <f>X88</f>
        <v>2526.7690000000007</v>
      </c>
      <c r="Z88" s="40"/>
      <c r="AA88" s="40"/>
      <c r="AB88" s="40"/>
      <c r="AC88" s="40"/>
      <c r="AD88" s="40"/>
      <c r="AE88" s="199"/>
      <c r="AI88" s="21"/>
      <c r="AJ88" s="21"/>
    </row>
    <row r="89" spans="3:36" s="20" customFormat="1" x14ac:dyDescent="0.2">
      <c r="C89" s="17" t="s">
        <v>855</v>
      </c>
      <c r="D89" s="17"/>
      <c r="E89" s="36"/>
      <c r="F89" s="36"/>
      <c r="G89" s="36"/>
      <c r="H89" s="36"/>
      <c r="I89" s="36"/>
      <c r="J89" s="36"/>
      <c r="K89" s="36"/>
      <c r="L89" s="36"/>
      <c r="M89" s="36"/>
      <c r="N89" s="36"/>
      <c r="O89" s="36">
        <v>79.209999999999994</v>
      </c>
      <c r="P89" s="36"/>
      <c r="Q89" s="36"/>
      <c r="R89" s="36"/>
      <c r="S89" s="34"/>
      <c r="T89" s="34">
        <v>68.159000000000006</v>
      </c>
      <c r="U89" s="34">
        <v>71.55</v>
      </c>
      <c r="V89" s="40">
        <v>71.55</v>
      </c>
      <c r="W89" s="40">
        <v>71.55</v>
      </c>
      <c r="X89" s="40">
        <v>71.55</v>
      </c>
      <c r="Y89" s="130">
        <f t="shared" ref="Y89:Y99" si="21">X89</f>
        <v>71.55</v>
      </c>
      <c r="Z89" s="40"/>
      <c r="AA89" s="40"/>
      <c r="AB89" s="40"/>
      <c r="AC89" s="40"/>
      <c r="AD89" s="40"/>
      <c r="AE89" s="199"/>
      <c r="AI89" s="21"/>
      <c r="AJ89" s="21"/>
    </row>
    <row r="90" spans="3:36" s="20" customFormat="1" x14ac:dyDescent="0.2">
      <c r="C90" s="17" t="s">
        <v>856</v>
      </c>
      <c r="D90" s="17"/>
      <c r="E90" s="36"/>
      <c r="F90" s="36"/>
      <c r="G90" s="36"/>
      <c r="H90" s="36"/>
      <c r="I90" s="36"/>
      <c r="J90" s="36"/>
      <c r="K90" s="36"/>
      <c r="L90" s="36"/>
      <c r="M90" s="36"/>
      <c r="N90" s="36"/>
      <c r="O90" s="36">
        <v>67.903999999999996</v>
      </c>
      <c r="P90" s="36"/>
      <c r="Q90" s="36"/>
      <c r="R90" s="36"/>
      <c r="S90" s="34"/>
      <c r="T90" s="34">
        <v>34.561</v>
      </c>
      <c r="U90" s="34">
        <v>23.85</v>
      </c>
      <c r="V90" s="40">
        <v>23.85</v>
      </c>
      <c r="W90" s="40">
        <v>23.85</v>
      </c>
      <c r="X90" s="40">
        <v>23.85</v>
      </c>
      <c r="Y90" s="130">
        <f t="shared" si="21"/>
        <v>23.85</v>
      </c>
      <c r="Z90" s="40"/>
      <c r="AA90" s="40"/>
      <c r="AB90" s="40"/>
      <c r="AC90" s="40"/>
      <c r="AD90" s="40"/>
      <c r="AE90" s="199"/>
      <c r="AI90" s="21"/>
      <c r="AJ90" s="21"/>
    </row>
    <row r="91" spans="3:36" s="20" customFormat="1" x14ac:dyDescent="0.2">
      <c r="C91" s="17" t="s">
        <v>857</v>
      </c>
      <c r="D91" s="17"/>
      <c r="E91" s="36"/>
      <c r="F91" s="36"/>
      <c r="G91" s="36"/>
      <c r="H91" s="36"/>
      <c r="I91" s="36"/>
      <c r="J91" s="36"/>
      <c r="K91" s="36"/>
      <c r="L91" s="36"/>
      <c r="M91" s="36"/>
      <c r="N91" s="36"/>
      <c r="O91" s="36">
        <v>1.1299999999999999</v>
      </c>
      <c r="P91" s="36"/>
      <c r="Q91" s="36"/>
      <c r="R91" s="36"/>
      <c r="S91" s="34"/>
      <c r="T91" s="34">
        <v>0.96399999999999997</v>
      </c>
      <c r="U91" s="179">
        <v>0.96399999999999997</v>
      </c>
      <c r="V91" s="40">
        <v>0.96399999999999997</v>
      </c>
      <c r="W91" s="40">
        <v>0.96399999999999997</v>
      </c>
      <c r="X91" s="40">
        <v>0.96399999999999997</v>
      </c>
      <c r="Y91" s="130">
        <f t="shared" si="21"/>
        <v>0.96399999999999997</v>
      </c>
      <c r="Z91" s="40"/>
      <c r="AA91" s="40"/>
      <c r="AB91" s="40"/>
      <c r="AC91" s="40"/>
      <c r="AD91" s="40"/>
      <c r="AE91" s="199"/>
      <c r="AI91" s="21"/>
      <c r="AJ91" s="21"/>
    </row>
    <row r="92" spans="3:36" s="20" customFormat="1" x14ac:dyDescent="0.2">
      <c r="C92" s="17" t="s">
        <v>858</v>
      </c>
      <c r="D92" s="17"/>
      <c r="E92" s="36"/>
      <c r="F92" s="36"/>
      <c r="G92" s="36"/>
      <c r="H92" s="36"/>
      <c r="I92" s="36"/>
      <c r="J92" s="36"/>
      <c r="K92" s="36"/>
      <c r="L92" s="36"/>
      <c r="M92" s="36"/>
      <c r="N92" s="36"/>
      <c r="O92" s="36">
        <v>2.59</v>
      </c>
      <c r="P92" s="36"/>
      <c r="Q92" s="36"/>
      <c r="R92" s="36"/>
      <c r="S92" s="34"/>
      <c r="T92" s="34">
        <v>1.29</v>
      </c>
      <c r="U92" s="34">
        <v>0.97599999999999998</v>
      </c>
      <c r="V92" s="40">
        <v>0.97599999999999998</v>
      </c>
      <c r="W92" s="40">
        <v>0.97599999999999998</v>
      </c>
      <c r="X92" s="40">
        <v>0.97599999999999998</v>
      </c>
      <c r="Y92" s="130">
        <f t="shared" si="21"/>
        <v>0.97599999999999998</v>
      </c>
      <c r="Z92" s="40"/>
      <c r="AA92" s="40"/>
      <c r="AB92" s="40"/>
      <c r="AC92" s="40"/>
      <c r="AD92" s="40"/>
      <c r="AE92" s="199"/>
      <c r="AI92" s="21"/>
      <c r="AJ92" s="21"/>
    </row>
    <row r="93" spans="3:36" s="20" customFormat="1" x14ac:dyDescent="0.2">
      <c r="C93" s="17" t="s">
        <v>859</v>
      </c>
      <c r="D93" s="17"/>
      <c r="E93" s="36"/>
      <c r="F93" s="36"/>
      <c r="G93" s="36"/>
      <c r="H93" s="36"/>
      <c r="I93" s="36"/>
      <c r="J93" s="36"/>
      <c r="K93" s="36"/>
      <c r="L93" s="36"/>
      <c r="M93" s="36"/>
      <c r="N93" s="36"/>
      <c r="O93" s="36">
        <v>3.8250000000000002</v>
      </c>
      <c r="P93" s="36"/>
      <c r="Q93" s="36"/>
      <c r="R93" s="36"/>
      <c r="S93" s="34"/>
      <c r="T93" s="34">
        <v>23.952999999999999</v>
      </c>
      <c r="U93" s="34">
        <v>23.222999999999999</v>
      </c>
      <c r="V93" s="40">
        <v>23.222999999999999</v>
      </c>
      <c r="W93" s="40">
        <v>23.222999999999999</v>
      </c>
      <c r="X93" s="40">
        <v>23.222999999999999</v>
      </c>
      <c r="Y93" s="130">
        <f t="shared" si="21"/>
        <v>23.222999999999999</v>
      </c>
      <c r="Z93" s="40"/>
      <c r="AA93" s="40"/>
      <c r="AB93" s="40"/>
      <c r="AC93" s="40"/>
      <c r="AD93" s="40"/>
      <c r="AE93" s="199"/>
      <c r="AI93" s="21"/>
      <c r="AJ93" s="21"/>
    </row>
    <row r="94" spans="3:36" s="20" customFormat="1" x14ac:dyDescent="0.2">
      <c r="C94" s="17" t="s">
        <v>152</v>
      </c>
      <c r="D94" s="17"/>
      <c r="E94" s="36"/>
      <c r="F94" s="36"/>
      <c r="G94" s="36"/>
      <c r="H94" s="36"/>
      <c r="I94" s="36"/>
      <c r="J94" s="36"/>
      <c r="K94" s="36"/>
      <c r="L94" s="36"/>
      <c r="M94" s="36"/>
      <c r="N94" s="36"/>
      <c r="O94" s="36">
        <v>69.183999999999997</v>
      </c>
      <c r="P94" s="36"/>
      <c r="Q94" s="36"/>
      <c r="R94" s="36"/>
      <c r="S94" s="34"/>
      <c r="T94" s="34">
        <v>35.023000000000003</v>
      </c>
      <c r="U94" s="34">
        <v>40.637</v>
      </c>
      <c r="V94" s="40">
        <v>40.637</v>
      </c>
      <c r="W94" s="40">
        <v>40.637</v>
      </c>
      <c r="X94" s="40">
        <v>40.637</v>
      </c>
      <c r="Y94" s="130">
        <f t="shared" si="21"/>
        <v>40.637</v>
      </c>
      <c r="Z94" s="40"/>
      <c r="AA94" s="40"/>
      <c r="AB94" s="40"/>
      <c r="AC94" s="40"/>
      <c r="AD94" s="40"/>
      <c r="AE94" s="199"/>
      <c r="AI94" s="21"/>
      <c r="AJ94" s="21"/>
    </row>
    <row r="95" spans="3:36" s="20" customFormat="1" x14ac:dyDescent="0.2">
      <c r="C95" s="17" t="s">
        <v>860</v>
      </c>
      <c r="D95" s="17"/>
      <c r="E95" s="36"/>
      <c r="F95" s="36"/>
      <c r="G95" s="36"/>
      <c r="H95" s="36"/>
      <c r="I95" s="36"/>
      <c r="J95" s="36"/>
      <c r="K95" s="36"/>
      <c r="L95" s="36"/>
      <c r="M95" s="36"/>
      <c r="N95" s="36"/>
      <c r="O95" s="36">
        <v>3.5999999999999997E-2</v>
      </c>
      <c r="P95" s="36"/>
      <c r="Q95" s="36"/>
      <c r="R95" s="36"/>
      <c r="S95" s="34"/>
      <c r="T95" s="34">
        <v>3.5999999999999997E-2</v>
      </c>
      <c r="U95" s="34">
        <v>0</v>
      </c>
      <c r="V95" s="40">
        <v>0</v>
      </c>
      <c r="W95" s="40">
        <v>0</v>
      </c>
      <c r="X95" s="40">
        <v>0</v>
      </c>
      <c r="Y95" s="130">
        <f t="shared" si="21"/>
        <v>0</v>
      </c>
      <c r="Z95" s="40"/>
      <c r="AA95" s="40"/>
      <c r="AB95" s="40"/>
      <c r="AC95" s="40"/>
      <c r="AD95" s="40"/>
      <c r="AE95" s="199"/>
      <c r="AI95" s="21"/>
      <c r="AJ95" s="21"/>
    </row>
    <row r="96" spans="3:36" s="20" customFormat="1" x14ac:dyDescent="0.2">
      <c r="C96" s="17" t="s">
        <v>150</v>
      </c>
      <c r="D96" s="17"/>
      <c r="E96" s="36"/>
      <c r="F96" s="36"/>
      <c r="G96" s="36"/>
      <c r="H96" s="36"/>
      <c r="I96" s="36"/>
      <c r="J96" s="36"/>
      <c r="K96" s="36"/>
      <c r="L96" s="36"/>
      <c r="M96" s="36"/>
      <c r="N96" s="36"/>
      <c r="O96" s="36">
        <v>4.78</v>
      </c>
      <c r="P96" s="36"/>
      <c r="Q96" s="36"/>
      <c r="R96" s="36"/>
      <c r="S96" s="34"/>
      <c r="T96" s="34">
        <v>13.381</v>
      </c>
      <c r="U96" s="34">
        <v>13.420999999999999</v>
      </c>
      <c r="V96" s="40">
        <v>13.420999999999999</v>
      </c>
      <c r="W96" s="40">
        <v>13.420999999999999</v>
      </c>
      <c r="X96" s="40">
        <v>13.420999999999999</v>
      </c>
      <c r="Y96" s="130">
        <f t="shared" si="21"/>
        <v>13.420999999999999</v>
      </c>
      <c r="Z96" s="40"/>
      <c r="AA96" s="40"/>
      <c r="AB96" s="40"/>
      <c r="AC96" s="40"/>
      <c r="AD96" s="40"/>
      <c r="AE96" s="199"/>
      <c r="AI96" s="21"/>
      <c r="AJ96" s="21"/>
    </row>
    <row r="97" spans="3:36" s="20" customFormat="1" x14ac:dyDescent="0.2">
      <c r="C97" s="17" t="s">
        <v>861</v>
      </c>
      <c r="D97" s="17"/>
      <c r="E97" s="36"/>
      <c r="F97" s="36"/>
      <c r="G97" s="36"/>
      <c r="H97" s="36"/>
      <c r="I97" s="36"/>
      <c r="J97" s="36"/>
      <c r="K97" s="36"/>
      <c r="L97" s="36"/>
      <c r="M97" s="36"/>
      <c r="N97" s="36"/>
      <c r="O97" s="36">
        <v>74.212999999999994</v>
      </c>
      <c r="P97" s="36"/>
      <c r="Q97" s="36"/>
      <c r="R97" s="36"/>
      <c r="S97" s="34"/>
      <c r="T97" s="34">
        <v>69.626000000000005</v>
      </c>
      <c r="U97" s="34">
        <v>73.116</v>
      </c>
      <c r="V97" s="40">
        <v>73.116</v>
      </c>
      <c r="W97" s="40">
        <v>73.116</v>
      </c>
      <c r="X97" s="40">
        <v>73.116</v>
      </c>
      <c r="Y97" s="130">
        <f t="shared" si="21"/>
        <v>73.116</v>
      </c>
      <c r="Z97" s="40"/>
      <c r="AA97" s="40"/>
      <c r="AB97" s="40"/>
      <c r="AC97" s="40"/>
      <c r="AD97" s="40"/>
      <c r="AE97" s="199"/>
      <c r="AI97" s="21"/>
      <c r="AJ97" s="21"/>
    </row>
    <row r="98" spans="3:36" s="20" customFormat="1" x14ac:dyDescent="0.2">
      <c r="C98" s="17" t="s">
        <v>862</v>
      </c>
      <c r="D98" s="17"/>
      <c r="E98" s="36"/>
      <c r="F98" s="36"/>
      <c r="G98" s="36"/>
      <c r="H98" s="36"/>
      <c r="I98" s="36"/>
      <c r="J98" s="36"/>
      <c r="K98" s="36"/>
      <c r="L98" s="36"/>
      <c r="M98" s="36"/>
      <c r="N98" s="36"/>
      <c r="O98" s="36">
        <v>39.359000000000002</v>
      </c>
      <c r="P98" s="36"/>
      <c r="Q98" s="36"/>
      <c r="R98" s="36"/>
      <c r="S98" s="34"/>
      <c r="T98" s="34">
        <v>60.171999999999997</v>
      </c>
      <c r="U98" s="34">
        <v>0</v>
      </c>
      <c r="V98" s="40">
        <v>0</v>
      </c>
      <c r="W98" s="40">
        <v>0</v>
      </c>
      <c r="X98" s="40">
        <v>0</v>
      </c>
      <c r="Y98" s="130">
        <f t="shared" si="21"/>
        <v>0</v>
      </c>
      <c r="Z98" s="40"/>
      <c r="AA98" s="40"/>
      <c r="AB98" s="40"/>
      <c r="AC98" s="40"/>
      <c r="AD98" s="40"/>
      <c r="AE98" s="199"/>
      <c r="AI98" s="21"/>
      <c r="AJ98" s="21"/>
    </row>
    <row r="99" spans="3:36" s="20" customFormat="1" x14ac:dyDescent="0.2">
      <c r="C99" s="17" t="s">
        <v>1083</v>
      </c>
      <c r="D99" s="17"/>
      <c r="E99" s="36"/>
      <c r="F99" s="36"/>
      <c r="G99" s="36"/>
      <c r="H99" s="36"/>
      <c r="I99" s="36"/>
      <c r="J99" s="36"/>
      <c r="K99" s="36"/>
      <c r="L99" s="36"/>
      <c r="M99" s="36"/>
      <c r="N99" s="36"/>
      <c r="O99" s="36"/>
      <c r="P99" s="36"/>
      <c r="Q99" s="36"/>
      <c r="R99" s="36"/>
      <c r="S99" s="34"/>
      <c r="T99" s="34"/>
      <c r="U99" s="34">
        <v>67.460999999999999</v>
      </c>
      <c r="V99" s="40">
        <v>67.460999999999999</v>
      </c>
      <c r="W99" s="40">
        <v>67.460999999999999</v>
      </c>
      <c r="X99" s="40">
        <v>67.460999999999999</v>
      </c>
      <c r="Y99" s="130">
        <f t="shared" si="21"/>
        <v>67.460999999999999</v>
      </c>
      <c r="Z99" s="40"/>
      <c r="AA99" s="40"/>
      <c r="AB99" s="40"/>
      <c r="AC99" s="40"/>
      <c r="AD99" s="40"/>
      <c r="AE99" s="199"/>
      <c r="AI99" s="21"/>
      <c r="AJ99" s="21"/>
    </row>
    <row r="100" spans="3:36" s="20" customFormat="1" x14ac:dyDescent="0.2">
      <c r="C100" s="17"/>
      <c r="D100" s="17"/>
      <c r="E100" s="36"/>
      <c r="F100" s="36"/>
      <c r="G100" s="36"/>
      <c r="H100" s="36"/>
      <c r="I100" s="36"/>
      <c r="J100" s="36"/>
      <c r="K100" s="36"/>
      <c r="L100" s="36"/>
      <c r="M100" s="36"/>
      <c r="N100" s="36"/>
      <c r="O100" s="36"/>
      <c r="P100" s="36"/>
      <c r="Q100" s="36"/>
      <c r="R100" s="36"/>
      <c r="S100" s="34"/>
      <c r="T100" s="34"/>
      <c r="U100" s="39"/>
      <c r="V100" s="130"/>
      <c r="W100" s="130"/>
      <c r="X100" s="130"/>
      <c r="Y100" s="40"/>
      <c r="Z100" s="40"/>
      <c r="AA100" s="40"/>
      <c r="AB100" s="40"/>
      <c r="AC100" s="40"/>
      <c r="AD100" s="40"/>
      <c r="AE100" s="199"/>
      <c r="AI100" s="21"/>
      <c r="AJ100" s="21"/>
    </row>
    <row r="101" spans="3:36" s="20" customFormat="1" x14ac:dyDescent="0.2">
      <c r="C101" s="32" t="s">
        <v>156</v>
      </c>
      <c r="D101" s="32"/>
      <c r="E101" s="33">
        <f t="shared" ref="E101:AD101" si="22">+SUM(E88:E100)</f>
        <v>0</v>
      </c>
      <c r="F101" s="33">
        <f t="shared" si="22"/>
        <v>0</v>
      </c>
      <c r="G101" s="33">
        <f t="shared" si="22"/>
        <v>0</v>
      </c>
      <c r="H101" s="33">
        <f t="shared" si="22"/>
        <v>0</v>
      </c>
      <c r="I101" s="33">
        <f t="shared" si="22"/>
        <v>0</v>
      </c>
      <c r="J101" s="33">
        <f t="shared" si="22"/>
        <v>0</v>
      </c>
      <c r="K101" s="33">
        <f t="shared" si="22"/>
        <v>0</v>
      </c>
      <c r="L101" s="33">
        <f t="shared" si="22"/>
        <v>0</v>
      </c>
      <c r="M101" s="33">
        <f t="shared" si="22"/>
        <v>0</v>
      </c>
      <c r="N101" s="33">
        <f t="shared" si="22"/>
        <v>0</v>
      </c>
      <c r="O101" s="33">
        <f t="shared" si="22"/>
        <v>3070.5500000000006</v>
      </c>
      <c r="P101" s="33">
        <f t="shared" si="22"/>
        <v>0</v>
      </c>
      <c r="Q101" s="33">
        <f t="shared" si="22"/>
        <v>0</v>
      </c>
      <c r="R101" s="33">
        <f t="shared" si="22"/>
        <v>0</v>
      </c>
      <c r="S101" s="33">
        <f t="shared" si="22"/>
        <v>0</v>
      </c>
      <c r="T101" s="33">
        <f t="shared" si="22"/>
        <v>2981.1030000000005</v>
      </c>
      <c r="U101" s="33">
        <f t="shared" si="22"/>
        <v>2958.067</v>
      </c>
      <c r="V101" s="33">
        <f t="shared" si="22"/>
        <v>2919.3670000000002</v>
      </c>
      <c r="W101" s="33">
        <f t="shared" si="22"/>
        <v>2880.6670000000004</v>
      </c>
      <c r="X101" s="33">
        <f t="shared" si="22"/>
        <v>2841.9670000000006</v>
      </c>
      <c r="Y101" s="33">
        <f t="shared" si="22"/>
        <v>2841.9670000000006</v>
      </c>
      <c r="Z101" s="33">
        <f t="shared" si="22"/>
        <v>0</v>
      </c>
      <c r="AA101" s="33">
        <f t="shared" si="22"/>
        <v>0</v>
      </c>
      <c r="AB101" s="33">
        <f t="shared" si="22"/>
        <v>0</v>
      </c>
      <c r="AC101" s="33">
        <f t="shared" si="22"/>
        <v>0</v>
      </c>
      <c r="AD101" s="33">
        <f t="shared" si="22"/>
        <v>0</v>
      </c>
      <c r="AE101" s="199"/>
      <c r="AJ101" s="21"/>
    </row>
    <row r="102" spans="3:36" s="20" customFormat="1" ht="5.0999999999999996" customHeight="1" x14ac:dyDescent="0.2">
      <c r="C102" s="17"/>
      <c r="D102" s="17"/>
      <c r="E102" s="37"/>
      <c r="F102" s="37"/>
      <c r="G102" s="37"/>
      <c r="H102" s="37"/>
      <c r="I102" s="37"/>
      <c r="J102" s="37"/>
      <c r="K102" s="37"/>
      <c r="L102" s="37"/>
      <c r="M102" s="37"/>
      <c r="N102" s="37"/>
      <c r="O102" s="37"/>
      <c r="P102" s="37"/>
      <c r="Q102" s="37"/>
      <c r="R102" s="37"/>
      <c r="AE102" s="199"/>
      <c r="AI102" s="21"/>
      <c r="AJ102" s="21"/>
    </row>
    <row r="103" spans="3:36" s="20" customFormat="1" x14ac:dyDescent="0.2">
      <c r="C103" s="17" t="s">
        <v>115</v>
      </c>
      <c r="D103" s="17"/>
      <c r="E103" s="36"/>
      <c r="F103" s="36"/>
      <c r="G103" s="36"/>
      <c r="H103" s="36"/>
      <c r="I103" s="36"/>
      <c r="J103" s="36"/>
      <c r="K103" s="36"/>
      <c r="L103" s="36"/>
      <c r="M103" s="36"/>
      <c r="N103" s="36"/>
      <c r="O103" s="36">
        <v>89.930999999999997</v>
      </c>
      <c r="P103" s="36"/>
      <c r="Q103" s="36"/>
      <c r="R103" s="36"/>
      <c r="S103" s="36"/>
      <c r="T103" s="36">
        <v>107.70399999999999</v>
      </c>
      <c r="U103" s="34">
        <v>111.613</v>
      </c>
      <c r="V103" s="40">
        <v>111.613</v>
      </c>
      <c r="W103" s="40">
        <v>111.613</v>
      </c>
      <c r="X103" s="40">
        <v>111.613</v>
      </c>
      <c r="Y103" s="130">
        <f>X103</f>
        <v>111.613</v>
      </c>
      <c r="Z103" s="40"/>
      <c r="AA103" s="40"/>
      <c r="AB103" s="40"/>
      <c r="AC103" s="40"/>
      <c r="AD103" s="40"/>
      <c r="AE103" s="199"/>
      <c r="AF103" s="76"/>
      <c r="AG103" s="76"/>
      <c r="AH103" s="76"/>
      <c r="AI103" s="21"/>
      <c r="AJ103" s="21"/>
    </row>
    <row r="104" spans="3:36" s="20" customFormat="1" x14ac:dyDescent="0.2">
      <c r="C104" s="17" t="s">
        <v>863</v>
      </c>
      <c r="D104" s="17"/>
      <c r="E104" s="36"/>
      <c r="F104" s="36"/>
      <c r="G104" s="36"/>
      <c r="H104" s="36"/>
      <c r="I104" s="36"/>
      <c r="J104" s="36"/>
      <c r="K104" s="36"/>
      <c r="L104" s="36"/>
      <c r="M104" s="36"/>
      <c r="N104" s="36"/>
      <c r="O104" s="36">
        <v>503.10899999999998</v>
      </c>
      <c r="P104" s="36"/>
      <c r="Q104" s="36"/>
      <c r="R104" s="36"/>
      <c r="S104" s="36"/>
      <c r="T104" s="36">
        <v>589.71</v>
      </c>
      <c r="U104" s="34">
        <v>598.67700000000002</v>
      </c>
      <c r="V104" s="40">
        <v>598.67700000000002</v>
      </c>
      <c r="W104" s="40">
        <v>598.67700000000002</v>
      </c>
      <c r="X104" s="40">
        <v>598.67700000000002</v>
      </c>
      <c r="Y104" s="130">
        <f>X104</f>
        <v>598.67700000000002</v>
      </c>
      <c r="Z104" s="40"/>
      <c r="AA104" s="40"/>
      <c r="AB104" s="40"/>
      <c r="AC104" s="40"/>
      <c r="AD104" s="40"/>
      <c r="AE104" s="199"/>
      <c r="AI104" s="21"/>
      <c r="AJ104" s="21"/>
    </row>
    <row r="105" spans="3:36" s="20" customFormat="1" x14ac:dyDescent="0.2">
      <c r="C105" s="17" t="s">
        <v>864</v>
      </c>
      <c r="D105" s="17"/>
      <c r="E105" s="36"/>
      <c r="F105" s="36"/>
      <c r="G105" s="36"/>
      <c r="H105" s="36"/>
      <c r="I105" s="36"/>
      <c r="J105" s="36"/>
      <c r="K105" s="36"/>
      <c r="L105" s="36"/>
      <c r="M105" s="36"/>
      <c r="N105" s="36"/>
      <c r="O105" s="36">
        <v>1.4239999999999999</v>
      </c>
      <c r="P105" s="36"/>
      <c r="Q105" s="36"/>
      <c r="R105" s="36"/>
      <c r="S105" s="36"/>
      <c r="T105" s="36">
        <v>12.901999999999999</v>
      </c>
      <c r="U105" s="34">
        <v>12.08</v>
      </c>
      <c r="V105" s="40">
        <v>12.08</v>
      </c>
      <c r="W105" s="40">
        <v>12.08</v>
      </c>
      <c r="X105" s="40">
        <v>12.08</v>
      </c>
      <c r="Y105" s="130">
        <f>X105</f>
        <v>12.08</v>
      </c>
      <c r="Z105" s="40"/>
      <c r="AA105" s="40"/>
      <c r="AB105" s="40"/>
      <c r="AC105" s="40"/>
      <c r="AD105" s="40"/>
      <c r="AE105" s="199"/>
      <c r="AI105" s="21"/>
      <c r="AJ105" s="21"/>
    </row>
    <row r="106" spans="3:36" s="20" customFormat="1" x14ac:dyDescent="0.2">
      <c r="C106" s="17" t="s">
        <v>1098</v>
      </c>
      <c r="D106" s="17"/>
      <c r="E106" s="36"/>
      <c r="F106" s="36"/>
      <c r="G106" s="36"/>
      <c r="H106" s="36"/>
      <c r="I106" s="36"/>
      <c r="J106" s="36"/>
      <c r="K106" s="36"/>
      <c r="L106" s="36"/>
      <c r="M106" s="36"/>
      <c r="N106" s="36"/>
      <c r="O106" s="36">
        <v>174.44</v>
      </c>
      <c r="P106" s="36"/>
      <c r="Q106" s="36"/>
      <c r="R106" s="36"/>
      <c r="S106" s="36"/>
      <c r="T106" s="36">
        <v>141.62100000000001</v>
      </c>
      <c r="U106" s="34">
        <v>128.916</v>
      </c>
      <c r="V106" s="40">
        <f>V85</f>
        <v>219.00054785586428</v>
      </c>
      <c r="W106" s="40">
        <f t="shared" ref="W106:AC106" si="23">W85</f>
        <v>208.57370349410618</v>
      </c>
      <c r="X106" s="40">
        <f t="shared" si="23"/>
        <v>226.4116714323483</v>
      </c>
      <c r="Y106" s="130">
        <f>X106</f>
        <v>226.4116714323483</v>
      </c>
      <c r="Z106" s="130" t="e">
        <f t="shared" si="23"/>
        <v>#REF!</v>
      </c>
      <c r="AA106" s="130" t="e">
        <f t="shared" si="23"/>
        <v>#REF!</v>
      </c>
      <c r="AB106" s="130" t="e">
        <f t="shared" si="23"/>
        <v>#REF!</v>
      </c>
      <c r="AC106" s="130" t="e">
        <f t="shared" si="23"/>
        <v>#REF!</v>
      </c>
      <c r="AD106" s="130"/>
      <c r="AE106" s="199"/>
      <c r="AI106" s="21"/>
      <c r="AJ106" s="21"/>
    </row>
    <row r="107" spans="3:36" s="20" customFormat="1" x14ac:dyDescent="0.2">
      <c r="C107" s="17" t="s">
        <v>865</v>
      </c>
      <c r="D107" s="17"/>
      <c r="E107" s="36"/>
      <c r="F107" s="36"/>
      <c r="G107" s="36"/>
      <c r="H107" s="36"/>
      <c r="I107" s="36"/>
      <c r="J107" s="36"/>
      <c r="K107" s="36"/>
      <c r="L107" s="36"/>
      <c r="M107" s="36"/>
      <c r="N107" s="36"/>
      <c r="O107" s="36">
        <v>105.88500000000001</v>
      </c>
      <c r="P107" s="36"/>
      <c r="Q107" s="36"/>
      <c r="R107" s="36"/>
      <c r="S107" s="36"/>
      <c r="T107" s="36">
        <v>80.900000000000006</v>
      </c>
      <c r="U107" s="34">
        <v>87.703999999999994</v>
      </c>
      <c r="V107" s="130">
        <v>0</v>
      </c>
      <c r="W107" s="130">
        <v>0</v>
      </c>
      <c r="X107" s="130">
        <v>0</v>
      </c>
      <c r="Y107" s="130">
        <v>0</v>
      </c>
      <c r="Z107" s="130">
        <v>0</v>
      </c>
      <c r="AA107" s="130">
        <v>0</v>
      </c>
      <c r="AB107" s="130">
        <v>0</v>
      </c>
      <c r="AC107" s="130">
        <v>0</v>
      </c>
      <c r="AD107" s="130">
        <v>0</v>
      </c>
      <c r="AE107" s="199"/>
      <c r="AI107" s="21"/>
      <c r="AJ107" s="21"/>
    </row>
    <row r="108" spans="3:36" s="20" customFormat="1" x14ac:dyDescent="0.2">
      <c r="C108" s="17"/>
      <c r="D108" s="17"/>
      <c r="E108" s="36"/>
      <c r="F108" s="36"/>
      <c r="G108" s="36"/>
      <c r="H108" s="36"/>
      <c r="I108" s="36"/>
      <c r="J108" s="36"/>
      <c r="K108" s="36"/>
      <c r="L108" s="36"/>
      <c r="M108" s="36"/>
      <c r="N108" s="36"/>
      <c r="O108" s="36"/>
      <c r="P108" s="36"/>
      <c r="Q108" s="36"/>
      <c r="R108" s="36"/>
      <c r="S108" s="36"/>
      <c r="T108" s="36"/>
      <c r="U108" s="39"/>
      <c r="V108" s="130"/>
      <c r="W108" s="130"/>
      <c r="X108" s="130"/>
      <c r="Y108" s="130"/>
      <c r="Z108" s="40"/>
      <c r="AA108" s="40"/>
      <c r="AB108" s="40"/>
      <c r="AC108" s="40"/>
      <c r="AD108" s="40"/>
      <c r="AE108" s="199"/>
      <c r="AI108" s="21"/>
      <c r="AJ108" s="21"/>
    </row>
    <row r="109" spans="3:36" s="20" customFormat="1" x14ac:dyDescent="0.2">
      <c r="C109" s="32" t="s">
        <v>155</v>
      </c>
      <c r="D109" s="32"/>
      <c r="E109" s="33">
        <f t="shared" ref="E109:AC109" si="24">SUM(E103:E108)</f>
        <v>0</v>
      </c>
      <c r="F109" s="33">
        <f t="shared" si="24"/>
        <v>0</v>
      </c>
      <c r="G109" s="33">
        <f t="shared" si="24"/>
        <v>0</v>
      </c>
      <c r="H109" s="33">
        <f t="shared" si="24"/>
        <v>0</v>
      </c>
      <c r="I109" s="33">
        <f t="shared" si="24"/>
        <v>0</v>
      </c>
      <c r="J109" s="33">
        <f t="shared" si="24"/>
        <v>0</v>
      </c>
      <c r="K109" s="33">
        <f t="shared" si="24"/>
        <v>0</v>
      </c>
      <c r="L109" s="33">
        <f t="shared" si="24"/>
        <v>0</v>
      </c>
      <c r="M109" s="33">
        <f t="shared" si="24"/>
        <v>0</v>
      </c>
      <c r="N109" s="33">
        <f t="shared" si="24"/>
        <v>0</v>
      </c>
      <c r="O109" s="33">
        <f t="shared" si="24"/>
        <v>874.78899999999999</v>
      </c>
      <c r="P109" s="33">
        <f t="shared" si="24"/>
        <v>0</v>
      </c>
      <c r="Q109" s="33">
        <f t="shared" si="24"/>
        <v>0</v>
      </c>
      <c r="R109" s="33">
        <f t="shared" si="24"/>
        <v>0</v>
      </c>
      <c r="S109" s="33">
        <f t="shared" si="24"/>
        <v>0</v>
      </c>
      <c r="T109" s="33">
        <f t="shared" si="24"/>
        <v>932.83699999999999</v>
      </c>
      <c r="U109" s="33">
        <f>SUM(U103:U108)</f>
        <v>938.99</v>
      </c>
      <c r="V109" s="33">
        <f>SUM(V103:V108)</f>
        <v>941.37054785586429</v>
      </c>
      <c r="W109" s="33">
        <f t="shared" si="24"/>
        <v>930.94370349410622</v>
      </c>
      <c r="X109" s="33">
        <f t="shared" si="24"/>
        <v>948.78167143234828</v>
      </c>
      <c r="Y109" s="33">
        <f t="shared" si="24"/>
        <v>948.78167143234828</v>
      </c>
      <c r="Z109" s="33" t="e">
        <f t="shared" si="24"/>
        <v>#REF!</v>
      </c>
      <c r="AA109" s="33" t="e">
        <f t="shared" si="24"/>
        <v>#REF!</v>
      </c>
      <c r="AB109" s="33" t="e">
        <f t="shared" si="24"/>
        <v>#REF!</v>
      </c>
      <c r="AC109" s="33" t="e">
        <f t="shared" si="24"/>
        <v>#REF!</v>
      </c>
      <c r="AD109" s="33"/>
      <c r="AE109" s="199"/>
      <c r="AI109" s="21"/>
      <c r="AJ109" s="21"/>
    </row>
    <row r="110" spans="3:36" s="20" customFormat="1" ht="5.0999999999999996" customHeight="1" x14ac:dyDescent="0.2">
      <c r="C110" s="17"/>
      <c r="D110" s="17"/>
      <c r="E110" s="37"/>
      <c r="F110" s="37"/>
      <c r="G110" s="37"/>
      <c r="H110" s="37"/>
      <c r="I110" s="37"/>
      <c r="J110" s="37"/>
      <c r="K110" s="37"/>
      <c r="L110" s="37"/>
      <c r="M110" s="37"/>
      <c r="N110" s="37"/>
      <c r="O110" s="37"/>
      <c r="P110" s="37"/>
      <c r="Q110" s="37"/>
      <c r="R110" s="37"/>
      <c r="AE110" s="199"/>
      <c r="AI110" s="21"/>
      <c r="AJ110" s="21"/>
    </row>
    <row r="111" spans="3:36" s="20" customFormat="1" x14ac:dyDescent="0.2">
      <c r="C111" s="17" t="s">
        <v>866</v>
      </c>
      <c r="D111" s="17"/>
      <c r="E111" s="34"/>
      <c r="F111" s="34"/>
      <c r="G111" s="34"/>
      <c r="H111" s="34"/>
      <c r="I111" s="34"/>
      <c r="J111" s="34"/>
      <c r="K111" s="34"/>
      <c r="L111" s="34"/>
      <c r="M111" s="34"/>
      <c r="N111" s="34"/>
      <c r="O111" s="34">
        <v>1455.171</v>
      </c>
      <c r="P111" s="34"/>
      <c r="Q111" s="34"/>
      <c r="R111" s="34"/>
      <c r="S111" s="34"/>
      <c r="T111" s="34">
        <v>1025.0229999999999</v>
      </c>
      <c r="U111" s="34">
        <v>944.85</v>
      </c>
      <c r="V111" s="40">
        <f>U111+U116+V67-V65</f>
        <v>1112.1286666666667</v>
      </c>
      <c r="W111" s="40">
        <f>V111+V116+W67-W65</f>
        <v>1028.4893333333334</v>
      </c>
      <c r="X111" s="40">
        <f>W111+W116+X67-X65</f>
        <v>944.85000000000014</v>
      </c>
      <c r="Y111" s="130">
        <f>X111</f>
        <v>944.85000000000014</v>
      </c>
      <c r="Z111" s="40"/>
      <c r="AA111" s="40"/>
      <c r="AB111" s="40"/>
      <c r="AC111" s="40"/>
      <c r="AD111" s="40"/>
      <c r="AE111" s="199"/>
      <c r="AI111" s="21"/>
      <c r="AJ111" s="21"/>
    </row>
    <row r="112" spans="3:36" s="20" customFormat="1" x14ac:dyDescent="0.2">
      <c r="C112" s="17" t="s">
        <v>152</v>
      </c>
      <c r="D112" s="17"/>
      <c r="E112" s="34"/>
      <c r="F112" s="34"/>
      <c r="G112" s="34"/>
      <c r="H112" s="34"/>
      <c r="I112" s="34"/>
      <c r="J112" s="34"/>
      <c r="K112" s="34"/>
      <c r="L112" s="34"/>
      <c r="M112" s="34"/>
      <c r="N112" s="34"/>
      <c r="O112" s="34">
        <v>0</v>
      </c>
      <c r="P112" s="34"/>
      <c r="Q112" s="34"/>
      <c r="R112" s="34"/>
      <c r="S112" s="34"/>
      <c r="T112" s="34">
        <v>0</v>
      </c>
      <c r="U112" s="34">
        <v>0</v>
      </c>
      <c r="V112" s="40">
        <v>0</v>
      </c>
      <c r="W112" s="40">
        <v>0</v>
      </c>
      <c r="X112" s="40">
        <v>0</v>
      </c>
      <c r="Y112" s="130"/>
      <c r="Z112" s="40"/>
      <c r="AA112" s="40"/>
      <c r="AB112" s="40"/>
      <c r="AC112" s="40"/>
      <c r="AD112" s="40"/>
      <c r="AE112" s="199"/>
      <c r="AI112" s="21"/>
      <c r="AJ112" s="21"/>
    </row>
    <row r="113" spans="3:36" s="20" customFormat="1" x14ac:dyDescent="0.2">
      <c r="C113" s="17"/>
      <c r="D113" s="17"/>
      <c r="E113" s="34"/>
      <c r="F113" s="34"/>
      <c r="G113" s="34"/>
      <c r="H113" s="34"/>
      <c r="I113" s="34"/>
      <c r="J113" s="34"/>
      <c r="K113" s="34"/>
      <c r="L113" s="34"/>
      <c r="M113" s="34"/>
      <c r="N113" s="34"/>
      <c r="O113" s="34"/>
      <c r="P113" s="34"/>
      <c r="Q113" s="34"/>
      <c r="R113" s="34"/>
      <c r="S113" s="34"/>
      <c r="T113" s="34"/>
      <c r="U113" s="39"/>
      <c r="V113" s="130"/>
      <c r="W113" s="130"/>
      <c r="X113" s="130"/>
      <c r="Y113" s="130"/>
      <c r="Z113" s="40"/>
      <c r="AA113" s="40"/>
      <c r="AB113" s="40"/>
      <c r="AC113" s="40"/>
      <c r="AD113" s="40"/>
      <c r="AE113" s="199"/>
      <c r="AI113" s="21"/>
      <c r="AJ113" s="21"/>
    </row>
    <row r="114" spans="3:36" s="20" customFormat="1" x14ac:dyDescent="0.2">
      <c r="C114" s="32" t="s">
        <v>160</v>
      </c>
      <c r="D114" s="32"/>
      <c r="E114" s="33">
        <f t="shared" ref="E114:AD114" si="25">SUM(E111:E113)</f>
        <v>0</v>
      </c>
      <c r="F114" s="33">
        <f t="shared" si="25"/>
        <v>0</v>
      </c>
      <c r="G114" s="33">
        <f t="shared" si="25"/>
        <v>0</v>
      </c>
      <c r="H114" s="33">
        <f t="shared" si="25"/>
        <v>0</v>
      </c>
      <c r="I114" s="33">
        <f t="shared" si="25"/>
        <v>0</v>
      </c>
      <c r="J114" s="33">
        <f t="shared" si="25"/>
        <v>0</v>
      </c>
      <c r="K114" s="33">
        <f t="shared" si="25"/>
        <v>0</v>
      </c>
      <c r="L114" s="33">
        <f t="shared" si="25"/>
        <v>0</v>
      </c>
      <c r="M114" s="33">
        <f t="shared" si="25"/>
        <v>0</v>
      </c>
      <c r="N114" s="33">
        <f t="shared" si="25"/>
        <v>0</v>
      </c>
      <c r="O114" s="33">
        <f t="shared" si="25"/>
        <v>1455.171</v>
      </c>
      <c r="P114" s="33">
        <f t="shared" si="25"/>
        <v>0</v>
      </c>
      <c r="Q114" s="33">
        <f t="shared" si="25"/>
        <v>0</v>
      </c>
      <c r="R114" s="33">
        <f t="shared" si="25"/>
        <v>0</v>
      </c>
      <c r="S114" s="33">
        <f t="shared" si="25"/>
        <v>0</v>
      </c>
      <c r="T114" s="33">
        <f t="shared" si="25"/>
        <v>1025.0229999999999</v>
      </c>
      <c r="U114" s="33">
        <f>SUM(U111:U113)</f>
        <v>944.85</v>
      </c>
      <c r="V114" s="33">
        <f t="shared" si="25"/>
        <v>1112.1286666666667</v>
      </c>
      <c r="W114" s="33">
        <f t="shared" si="25"/>
        <v>1028.4893333333334</v>
      </c>
      <c r="X114" s="33">
        <f t="shared" si="25"/>
        <v>944.85000000000014</v>
      </c>
      <c r="Y114" s="33">
        <f t="shared" si="25"/>
        <v>944.85000000000014</v>
      </c>
      <c r="Z114" s="33">
        <f t="shared" si="25"/>
        <v>0</v>
      </c>
      <c r="AA114" s="33">
        <f t="shared" si="25"/>
        <v>0</v>
      </c>
      <c r="AB114" s="33">
        <f t="shared" si="25"/>
        <v>0</v>
      </c>
      <c r="AC114" s="33">
        <f t="shared" si="25"/>
        <v>0</v>
      </c>
      <c r="AD114" s="33">
        <f t="shared" si="25"/>
        <v>0</v>
      </c>
      <c r="AE114" s="199"/>
      <c r="AI114" s="21"/>
      <c r="AJ114" s="21"/>
    </row>
    <row r="115" spans="3:36" s="20" customFormat="1" ht="5.0999999999999996" customHeight="1" x14ac:dyDescent="0.2">
      <c r="C115" s="17"/>
      <c r="D115" s="17"/>
      <c r="E115" s="37"/>
      <c r="F115" s="37"/>
      <c r="G115" s="37"/>
      <c r="H115" s="37"/>
      <c r="I115" s="37"/>
      <c r="J115" s="37"/>
      <c r="K115" s="37"/>
      <c r="L115" s="37"/>
      <c r="M115" s="37"/>
      <c r="N115" s="37"/>
      <c r="O115" s="37"/>
      <c r="P115" s="37"/>
      <c r="Q115" s="37"/>
      <c r="R115" s="37"/>
      <c r="AE115" s="199"/>
      <c r="AI115" s="21"/>
      <c r="AJ115" s="21"/>
    </row>
    <row r="116" spans="3:36" s="20" customFormat="1" x14ac:dyDescent="0.2">
      <c r="C116" s="17" t="s">
        <v>866</v>
      </c>
      <c r="D116" s="17"/>
      <c r="E116" s="34"/>
      <c r="F116" s="34"/>
      <c r="G116" s="34"/>
      <c r="H116" s="34"/>
      <c r="I116" s="34"/>
      <c r="J116" s="34"/>
      <c r="K116" s="34"/>
      <c r="L116" s="34"/>
      <c r="M116" s="34"/>
      <c r="N116" s="34"/>
      <c r="O116" s="34">
        <v>320.11599999999999</v>
      </c>
      <c r="P116" s="34"/>
      <c r="Q116" s="34"/>
      <c r="R116" s="34"/>
      <c r="S116" s="34"/>
      <c r="T116" s="34">
        <v>267.32799999999997</v>
      </c>
      <c r="U116" s="34">
        <v>250.91800000000001</v>
      </c>
      <c r="V116" s="130">
        <v>0</v>
      </c>
      <c r="W116" s="130">
        <v>0</v>
      </c>
      <c r="X116" s="130">
        <v>0</v>
      </c>
      <c r="Y116" s="130">
        <v>0</v>
      </c>
      <c r="Z116" s="40"/>
      <c r="AA116" s="40"/>
      <c r="AB116" s="40"/>
      <c r="AC116" s="40"/>
      <c r="AD116" s="40"/>
      <c r="AE116" s="199"/>
      <c r="AI116" s="21"/>
      <c r="AJ116" s="21"/>
    </row>
    <row r="117" spans="3:36" s="20" customFormat="1" x14ac:dyDescent="0.2">
      <c r="C117" s="17" t="s">
        <v>867</v>
      </c>
      <c r="D117" s="17"/>
      <c r="E117" s="34"/>
      <c r="F117" s="34"/>
      <c r="G117" s="34"/>
      <c r="H117" s="34"/>
      <c r="I117" s="34"/>
      <c r="J117" s="34"/>
      <c r="K117" s="34"/>
      <c r="L117" s="34"/>
      <c r="M117" s="34"/>
      <c r="N117" s="34"/>
      <c r="O117" s="34">
        <v>9.2999999999999999E-2</v>
      </c>
      <c r="P117" s="34"/>
      <c r="Q117" s="34"/>
      <c r="R117" s="34"/>
      <c r="S117" s="34"/>
      <c r="T117" s="34">
        <v>0.27600000000000002</v>
      </c>
      <c r="U117" s="34">
        <v>0.122</v>
      </c>
      <c r="V117" s="40">
        <v>0.122</v>
      </c>
      <c r="W117" s="40">
        <v>0.122</v>
      </c>
      <c r="X117" s="40">
        <v>0.122</v>
      </c>
      <c r="Y117" s="130">
        <f>X117</f>
        <v>0.122</v>
      </c>
      <c r="Z117" s="40"/>
      <c r="AA117" s="40"/>
      <c r="AB117" s="40"/>
      <c r="AC117" s="40"/>
      <c r="AD117" s="40"/>
      <c r="AE117" s="199"/>
      <c r="AI117" s="21"/>
      <c r="AJ117" s="21"/>
    </row>
    <row r="118" spans="3:36" s="20" customFormat="1" x14ac:dyDescent="0.2">
      <c r="C118" s="17" t="s">
        <v>868</v>
      </c>
      <c r="D118" s="17"/>
      <c r="E118" s="34"/>
      <c r="F118" s="34"/>
      <c r="G118" s="34"/>
      <c r="H118" s="34"/>
      <c r="I118" s="34"/>
      <c r="J118" s="34"/>
      <c r="K118" s="34"/>
      <c r="L118" s="34"/>
      <c r="M118" s="34"/>
      <c r="N118" s="34"/>
      <c r="O118" s="34">
        <v>4.7370000000000001</v>
      </c>
      <c r="P118" s="34"/>
      <c r="Q118" s="34"/>
      <c r="R118" s="34"/>
      <c r="S118" s="34"/>
      <c r="T118" s="34">
        <v>8.1110000000000007</v>
      </c>
      <c r="U118" s="34">
        <v>0.77700000000000002</v>
      </c>
      <c r="V118" s="40">
        <v>0.77700000000000002</v>
      </c>
      <c r="W118" s="40">
        <v>0.77700000000000002</v>
      </c>
      <c r="X118" s="40">
        <v>0.77700000000000002</v>
      </c>
      <c r="Y118" s="130">
        <f>X118</f>
        <v>0.77700000000000002</v>
      </c>
      <c r="Z118" s="40"/>
      <c r="AA118" s="40"/>
      <c r="AB118" s="40"/>
      <c r="AC118" s="40"/>
      <c r="AD118" s="40"/>
      <c r="AE118" s="199"/>
      <c r="AH118" s="178"/>
      <c r="AI118" s="21"/>
      <c r="AJ118" s="21"/>
    </row>
    <row r="119" spans="3:36" s="20" customFormat="1" x14ac:dyDescent="0.2">
      <c r="C119" s="17" t="s">
        <v>869</v>
      </c>
      <c r="D119" s="17"/>
      <c r="E119" s="34"/>
      <c r="F119" s="34"/>
      <c r="G119" s="34"/>
      <c r="H119" s="34"/>
      <c r="I119" s="34"/>
      <c r="J119" s="34"/>
      <c r="K119" s="34"/>
      <c r="L119" s="34"/>
      <c r="M119" s="34"/>
      <c r="N119" s="34"/>
      <c r="O119" s="34">
        <v>156.21799999999999</v>
      </c>
      <c r="P119" s="34"/>
      <c r="Q119" s="34"/>
      <c r="R119" s="34"/>
      <c r="S119" s="34"/>
      <c r="T119" s="34">
        <v>385.47800000000001</v>
      </c>
      <c r="U119" s="34">
        <v>345.14600000000002</v>
      </c>
      <c r="V119" s="40">
        <v>345.14600000000002</v>
      </c>
      <c r="W119" s="40">
        <v>345.14600000000002</v>
      </c>
      <c r="X119" s="40">
        <v>345.14600000000002</v>
      </c>
      <c r="Y119" s="130">
        <f>X119</f>
        <v>345.14600000000002</v>
      </c>
      <c r="Z119" s="40"/>
      <c r="AA119" s="40"/>
      <c r="AB119" s="40"/>
      <c r="AC119" s="40"/>
      <c r="AD119" s="40"/>
      <c r="AE119" s="199"/>
      <c r="AI119" s="21"/>
      <c r="AJ119" s="21"/>
    </row>
    <row r="120" spans="3:36" s="20" customFormat="1" x14ac:dyDescent="0.2">
      <c r="C120" s="17"/>
      <c r="D120" s="17"/>
      <c r="E120" s="34"/>
      <c r="F120" s="34"/>
      <c r="G120" s="34"/>
      <c r="H120" s="34"/>
      <c r="I120" s="34"/>
      <c r="J120" s="34"/>
      <c r="K120" s="34"/>
      <c r="L120" s="34"/>
      <c r="M120" s="34"/>
      <c r="N120" s="34"/>
      <c r="O120" s="34"/>
      <c r="P120" s="34"/>
      <c r="Q120" s="34"/>
      <c r="R120" s="34"/>
      <c r="S120" s="34"/>
      <c r="T120" s="34"/>
      <c r="U120" s="39"/>
      <c r="V120" s="130"/>
      <c r="W120" s="130"/>
      <c r="X120" s="130"/>
      <c r="Y120" s="130"/>
      <c r="Z120" s="40"/>
      <c r="AA120" s="40"/>
      <c r="AB120" s="40"/>
      <c r="AC120" s="40"/>
      <c r="AD120" s="40"/>
      <c r="AE120" s="199"/>
      <c r="AI120" s="21"/>
      <c r="AJ120" s="21"/>
    </row>
    <row r="121" spans="3:36" s="20" customFormat="1" x14ac:dyDescent="0.2">
      <c r="C121" s="32" t="s">
        <v>163</v>
      </c>
      <c r="D121" s="32"/>
      <c r="E121" s="33">
        <f t="shared" ref="E121:AD121" si="26">SUM(E116:E120)</f>
        <v>0</v>
      </c>
      <c r="F121" s="33">
        <f t="shared" si="26"/>
        <v>0</v>
      </c>
      <c r="G121" s="33">
        <f t="shared" si="26"/>
        <v>0</v>
      </c>
      <c r="H121" s="33">
        <f t="shared" si="26"/>
        <v>0</v>
      </c>
      <c r="I121" s="33">
        <f t="shared" si="26"/>
        <v>0</v>
      </c>
      <c r="J121" s="33">
        <f t="shared" si="26"/>
        <v>0</v>
      </c>
      <c r="K121" s="33">
        <f t="shared" si="26"/>
        <v>0</v>
      </c>
      <c r="L121" s="33">
        <f t="shared" si="26"/>
        <v>0</v>
      </c>
      <c r="M121" s="33">
        <f t="shared" si="26"/>
        <v>0</v>
      </c>
      <c r="N121" s="33">
        <f t="shared" si="26"/>
        <v>0</v>
      </c>
      <c r="O121" s="33">
        <f t="shared" si="26"/>
        <v>481.16399999999999</v>
      </c>
      <c r="P121" s="33">
        <f t="shared" si="26"/>
        <v>0</v>
      </c>
      <c r="Q121" s="33">
        <f t="shared" si="26"/>
        <v>0</v>
      </c>
      <c r="R121" s="33">
        <f t="shared" si="26"/>
        <v>0</v>
      </c>
      <c r="S121" s="33">
        <f t="shared" si="26"/>
        <v>0</v>
      </c>
      <c r="T121" s="33">
        <f t="shared" si="26"/>
        <v>661.19299999999998</v>
      </c>
      <c r="U121" s="33">
        <f t="shared" si="26"/>
        <v>596.96299999999997</v>
      </c>
      <c r="V121" s="33">
        <f t="shared" si="26"/>
        <v>346.04500000000002</v>
      </c>
      <c r="W121" s="33">
        <f t="shared" si="26"/>
        <v>346.04500000000002</v>
      </c>
      <c r="X121" s="33">
        <f t="shared" si="26"/>
        <v>346.04500000000002</v>
      </c>
      <c r="Y121" s="33">
        <f t="shared" si="26"/>
        <v>346.04500000000002</v>
      </c>
      <c r="Z121" s="33">
        <f t="shared" si="26"/>
        <v>0</v>
      </c>
      <c r="AA121" s="33">
        <f t="shared" si="26"/>
        <v>0</v>
      </c>
      <c r="AB121" s="33">
        <f t="shared" si="26"/>
        <v>0</v>
      </c>
      <c r="AC121" s="33">
        <f t="shared" si="26"/>
        <v>0</v>
      </c>
      <c r="AD121" s="33">
        <f t="shared" si="26"/>
        <v>0</v>
      </c>
      <c r="AE121" s="199"/>
      <c r="AI121" s="21"/>
      <c r="AJ121" s="21"/>
    </row>
    <row r="122" spans="3:36" s="20" customFormat="1" ht="9" customHeight="1" x14ac:dyDescent="0.2">
      <c r="C122" s="17"/>
      <c r="D122" s="17"/>
      <c r="E122" s="37"/>
      <c r="F122" s="37"/>
      <c r="G122" s="37"/>
      <c r="H122" s="37"/>
      <c r="I122" s="37"/>
      <c r="J122" s="37"/>
      <c r="K122" s="37"/>
      <c r="L122" s="37"/>
      <c r="M122" s="37"/>
      <c r="N122" s="37"/>
      <c r="O122" s="37"/>
      <c r="P122" s="37"/>
      <c r="Q122" s="37"/>
      <c r="R122" s="37"/>
      <c r="AE122" s="199"/>
      <c r="AI122" s="21"/>
      <c r="AJ122" s="21"/>
    </row>
    <row r="123" spans="3:36" s="20" customFormat="1" x14ac:dyDescent="0.2">
      <c r="C123" s="32" t="s">
        <v>164</v>
      </c>
      <c r="D123" s="32"/>
      <c r="E123" s="41"/>
      <c r="F123" s="41"/>
      <c r="G123" s="41"/>
      <c r="H123" s="41"/>
      <c r="I123" s="41"/>
      <c r="J123" s="41"/>
      <c r="K123" s="41"/>
      <c r="L123" s="41"/>
      <c r="M123" s="41"/>
      <c r="N123" s="41"/>
      <c r="O123" s="33">
        <v>2009.0039999999999</v>
      </c>
      <c r="P123" s="41"/>
      <c r="Q123" s="41"/>
      <c r="R123" s="41"/>
      <c r="S123" s="41"/>
      <c r="T123" s="33">
        <f>2227.724+31.43</f>
        <v>2259.154</v>
      </c>
      <c r="U123" s="33">
        <f>+T123+U31+U77</f>
        <v>2355.2049999999999</v>
      </c>
      <c r="V123" s="33">
        <f>+U123+V31+V77</f>
        <v>2402.5548811891977</v>
      </c>
      <c r="W123" s="33">
        <f>+V123+W31+W77</f>
        <v>2437.067370160773</v>
      </c>
      <c r="X123" s="33">
        <f>+W123+X31+X77</f>
        <v>2499.8446714323486</v>
      </c>
      <c r="Y123" s="33">
        <f>+X123</f>
        <v>2499.8446714323486</v>
      </c>
      <c r="Z123" s="33"/>
      <c r="AA123" s="33"/>
      <c r="AB123" s="33"/>
      <c r="AC123" s="33"/>
      <c r="AD123" s="33"/>
      <c r="AE123" s="199"/>
      <c r="AF123" s="178"/>
      <c r="AI123" s="21"/>
      <c r="AJ123" s="21"/>
    </row>
    <row r="124" spans="3:36" s="20" customFormat="1" x14ac:dyDescent="0.2">
      <c r="C124" s="17" t="s">
        <v>165</v>
      </c>
      <c r="D124" s="17"/>
      <c r="E124" s="37">
        <f t="shared" ref="E124:AD124" si="27">ROUNDDOWN(+E101+E109-E114-E121-E123,2)</f>
        <v>0</v>
      </c>
      <c r="F124" s="37">
        <f t="shared" si="27"/>
        <v>0</v>
      </c>
      <c r="G124" s="37">
        <f t="shared" si="27"/>
        <v>0</v>
      </c>
      <c r="H124" s="37">
        <f t="shared" si="27"/>
        <v>0</v>
      </c>
      <c r="I124" s="37">
        <f t="shared" si="27"/>
        <v>0</v>
      </c>
      <c r="J124" s="37">
        <f t="shared" si="27"/>
        <v>0</v>
      </c>
      <c r="K124" s="37">
        <f t="shared" si="27"/>
        <v>0</v>
      </c>
      <c r="L124" s="37">
        <f t="shared" si="27"/>
        <v>0</v>
      </c>
      <c r="M124" s="37">
        <f t="shared" si="27"/>
        <v>0</v>
      </c>
      <c r="N124" s="37">
        <f t="shared" si="27"/>
        <v>0</v>
      </c>
      <c r="O124" s="37">
        <f t="shared" si="27"/>
        <v>0</v>
      </c>
      <c r="P124" s="37">
        <f t="shared" si="27"/>
        <v>0</v>
      </c>
      <c r="Q124" s="37">
        <f t="shared" si="27"/>
        <v>0</v>
      </c>
      <c r="R124" s="37">
        <f t="shared" si="27"/>
        <v>0</v>
      </c>
      <c r="S124" s="37">
        <f t="shared" si="27"/>
        <v>0</v>
      </c>
      <c r="T124" s="37">
        <f>ROUNDDOWN(+T101+T109-T114-T121-T123,2)</f>
        <v>-31.42</v>
      </c>
      <c r="U124" s="37">
        <f>ROUNDDOWN(+U101+U109-U114-U121-U123,2)</f>
        <v>0.03</v>
      </c>
      <c r="V124" s="37">
        <f>ROUNDDOWN(+V101+V109-V114-V121-V123,2)</f>
        <v>0</v>
      </c>
      <c r="W124" s="37">
        <f t="shared" si="27"/>
        <v>0</v>
      </c>
      <c r="X124" s="37">
        <f t="shared" si="27"/>
        <v>0</v>
      </c>
      <c r="Y124" s="37">
        <f t="shared" si="27"/>
        <v>0</v>
      </c>
      <c r="Z124" s="37" t="e">
        <f t="shared" si="27"/>
        <v>#REF!</v>
      </c>
      <c r="AA124" s="37" t="e">
        <f t="shared" si="27"/>
        <v>#REF!</v>
      </c>
      <c r="AB124" s="37" t="e">
        <f t="shared" si="27"/>
        <v>#REF!</v>
      </c>
      <c r="AC124" s="37" t="e">
        <f t="shared" si="27"/>
        <v>#REF!</v>
      </c>
      <c r="AD124" s="37">
        <f t="shared" si="27"/>
        <v>0</v>
      </c>
      <c r="AI124" s="21"/>
      <c r="AJ124" s="21"/>
    </row>
    <row r="125" spans="3:36" s="20" customFormat="1" ht="5.0999999999999996" customHeight="1" x14ac:dyDescent="0.2">
      <c r="C125" s="17"/>
      <c r="D125" s="17"/>
      <c r="E125" s="37"/>
      <c r="F125" s="37"/>
      <c r="G125" s="37"/>
      <c r="H125" s="37"/>
      <c r="I125" s="37"/>
      <c r="J125" s="37"/>
      <c r="K125" s="37"/>
      <c r="L125" s="37"/>
      <c r="M125" s="37"/>
      <c r="N125" s="37"/>
      <c r="O125" s="37"/>
      <c r="P125" s="37"/>
      <c r="Q125" s="37"/>
      <c r="R125" s="37"/>
      <c r="AI125" s="21"/>
      <c r="AJ125" s="21"/>
    </row>
    <row r="126" spans="3:36" s="20" customFormat="1" x14ac:dyDescent="0.2">
      <c r="C126" s="30" t="s">
        <v>166</v>
      </c>
      <c r="D126" s="30"/>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I126" s="21"/>
      <c r="AJ126" s="21"/>
    </row>
    <row r="127" spans="3:36" s="20" customFormat="1" x14ac:dyDescent="0.2">
      <c r="C127" s="17" t="s">
        <v>93</v>
      </c>
      <c r="D127" s="17"/>
      <c r="E127" s="38"/>
      <c r="F127" s="38"/>
      <c r="G127" s="38"/>
      <c r="H127" s="38"/>
      <c r="I127" s="38"/>
      <c r="J127" s="38"/>
      <c r="K127" s="38"/>
      <c r="L127" s="38"/>
      <c r="M127" s="38"/>
      <c r="N127" s="38"/>
      <c r="O127" s="38">
        <f>O31/O128</f>
        <v>1.5366916389272829</v>
      </c>
      <c r="P127" s="38"/>
      <c r="Q127" s="38"/>
      <c r="R127" s="38"/>
      <c r="S127" s="38"/>
      <c r="T127" s="38">
        <f t="shared" ref="T127:Y127" si="28">T31/T128</f>
        <v>1.5594560112603622</v>
      </c>
      <c r="U127" s="38">
        <f t="shared" si="28"/>
        <v>0.43073914084048387</v>
      </c>
      <c r="V127" s="211">
        <f>V31/V128</f>
        <v>0.46443854476078478</v>
      </c>
      <c r="W127" s="211">
        <f t="shared" si="28"/>
        <v>0.33852102162587505</v>
      </c>
      <c r="X127" s="211">
        <f t="shared" si="28"/>
        <v>0.61576075196639402</v>
      </c>
      <c r="Y127" s="211">
        <f t="shared" si="28"/>
        <v>1.8494594591935378</v>
      </c>
      <c r="Z127" s="212"/>
      <c r="AA127" s="212"/>
      <c r="AB127" s="212"/>
      <c r="AC127" s="212"/>
      <c r="AD127" s="212"/>
      <c r="AI127" s="21"/>
      <c r="AJ127" s="21"/>
    </row>
    <row r="128" spans="3:36" s="20" customFormat="1" x14ac:dyDescent="0.2">
      <c r="C128" s="17" t="s">
        <v>95</v>
      </c>
      <c r="D128" s="17"/>
      <c r="E128" s="34"/>
      <c r="F128" s="34"/>
      <c r="G128" s="34"/>
      <c r="H128" s="34"/>
      <c r="I128" s="34"/>
      <c r="J128" s="34"/>
      <c r="K128" s="34"/>
      <c r="L128" s="34"/>
      <c r="M128" s="34"/>
      <c r="N128" s="34"/>
      <c r="O128" s="118">
        <v>489.07600000000002</v>
      </c>
      <c r="P128" s="34"/>
      <c r="Q128" s="34"/>
      <c r="R128" s="34"/>
      <c r="S128" s="34"/>
      <c r="T128" s="118">
        <v>508.68700000000001</v>
      </c>
      <c r="U128" s="118">
        <v>509.75400000000002</v>
      </c>
      <c r="V128" s="40">
        <v>509.75400000000002</v>
      </c>
      <c r="W128" s="40">
        <v>509.75400000000002</v>
      </c>
      <c r="X128" s="40">
        <v>509.75400000000002</v>
      </c>
      <c r="Y128" s="40">
        <v>509.75400000000002</v>
      </c>
      <c r="Z128" s="212"/>
      <c r="AA128" s="212"/>
      <c r="AB128" s="212"/>
      <c r="AC128" s="212"/>
      <c r="AD128" s="212"/>
      <c r="AI128" s="21"/>
      <c r="AJ128" s="21"/>
    </row>
    <row r="129" spans="3:36" s="20" customFormat="1" x14ac:dyDescent="0.2">
      <c r="C129" s="17" t="s">
        <v>1084</v>
      </c>
      <c r="D129" s="17"/>
      <c r="E129" s="34"/>
      <c r="F129" s="34"/>
      <c r="G129" s="34"/>
      <c r="H129" s="34"/>
      <c r="I129" s="34"/>
      <c r="J129" s="34"/>
      <c r="K129" s="34"/>
      <c r="L129" s="34"/>
      <c r="M129" s="34"/>
      <c r="N129" s="34"/>
      <c r="O129" s="154">
        <f t="shared" ref="O129:T129" si="29">-O77/O128</f>
        <v>0.49838470912496213</v>
      </c>
      <c r="P129" s="154"/>
      <c r="Q129" s="154"/>
      <c r="R129" s="154"/>
      <c r="S129" s="154"/>
      <c r="T129" s="154">
        <f t="shared" si="29"/>
        <v>1.0696872536549979</v>
      </c>
      <c r="U129" s="154">
        <f>-U77/U128</f>
        <v>0.24231295879973475</v>
      </c>
      <c r="V129" s="211">
        <f>V127*0.8</f>
        <v>0.37155083580862786</v>
      </c>
      <c r="W129" s="211">
        <f>W127*0.8</f>
        <v>0.27081681730070006</v>
      </c>
      <c r="X129" s="211">
        <f>X127*0.8</f>
        <v>0.49260860157311526</v>
      </c>
      <c r="Y129" s="211">
        <f>SUM(U129:X129)</f>
        <v>1.3772892134821779</v>
      </c>
      <c r="Z129" s="212"/>
      <c r="AA129" s="212"/>
      <c r="AB129" s="212"/>
      <c r="AC129" s="212"/>
      <c r="AD129" s="212"/>
      <c r="AI129" s="21"/>
      <c r="AJ129" s="21"/>
    </row>
    <row r="130" spans="3:36" s="20" customFormat="1" ht="13.5" customHeight="1" x14ac:dyDescent="0.2">
      <c r="C130" s="17"/>
      <c r="D130" s="17"/>
      <c r="E130" s="1"/>
      <c r="F130" s="1"/>
      <c r="G130" s="1"/>
      <c r="H130" s="1"/>
      <c r="I130" s="1"/>
      <c r="J130" s="1"/>
      <c r="K130" s="1"/>
      <c r="L130" s="1"/>
      <c r="M130" s="1"/>
      <c r="N130" s="1"/>
      <c r="O130" s="1"/>
      <c r="P130" s="1"/>
      <c r="Q130" s="1"/>
      <c r="R130" s="1"/>
      <c r="V130" s="212"/>
      <c r="W130" s="212"/>
      <c r="X130" s="212"/>
      <c r="Y130" s="212"/>
      <c r="Z130" s="212"/>
      <c r="AA130" s="212"/>
      <c r="AB130" s="212"/>
      <c r="AC130" s="212"/>
      <c r="AD130" s="212"/>
      <c r="AI130" s="21"/>
      <c r="AJ130" s="21"/>
    </row>
    <row r="131" spans="3:36" s="20" customFormat="1" x14ac:dyDescent="0.2">
      <c r="C131" s="42" t="s">
        <v>172</v>
      </c>
      <c r="D131" s="42"/>
      <c r="E131" s="37"/>
      <c r="F131" s="37"/>
      <c r="G131" s="37"/>
      <c r="H131" s="37"/>
      <c r="I131" s="37"/>
      <c r="J131" s="37"/>
      <c r="K131" s="37"/>
      <c r="L131" s="37"/>
      <c r="M131" s="37"/>
      <c r="N131" s="37"/>
      <c r="O131" s="37">
        <f t="shared" ref="O131:AC131" si="30">O111+O116</f>
        <v>1775.287</v>
      </c>
      <c r="P131" s="37"/>
      <c r="Q131" s="37"/>
      <c r="R131" s="37"/>
      <c r="S131" s="37"/>
      <c r="T131" s="37">
        <f t="shared" si="30"/>
        <v>1292.3509999999999</v>
      </c>
      <c r="U131" s="37">
        <f t="shared" si="30"/>
        <v>1195.768</v>
      </c>
      <c r="V131" s="213">
        <f>V111+V116</f>
        <v>1112.1286666666667</v>
      </c>
      <c r="W131" s="213">
        <f t="shared" si="30"/>
        <v>1028.4893333333334</v>
      </c>
      <c r="X131" s="213">
        <f t="shared" si="30"/>
        <v>944.85000000000014</v>
      </c>
      <c r="Y131" s="213">
        <f t="shared" si="30"/>
        <v>944.85000000000014</v>
      </c>
      <c r="Z131" s="213">
        <f t="shared" si="30"/>
        <v>0</v>
      </c>
      <c r="AA131" s="213">
        <f t="shared" si="30"/>
        <v>0</v>
      </c>
      <c r="AB131" s="213">
        <f t="shared" si="30"/>
        <v>0</v>
      </c>
      <c r="AC131" s="213">
        <f t="shared" si="30"/>
        <v>0</v>
      </c>
      <c r="AD131" s="213"/>
      <c r="AI131" s="21"/>
      <c r="AJ131" s="21"/>
    </row>
    <row r="132" spans="3:36" s="20" customFormat="1" x14ac:dyDescent="0.2">
      <c r="C132" s="17" t="s">
        <v>173</v>
      </c>
      <c r="D132" s="17"/>
      <c r="E132" s="37"/>
      <c r="F132" s="37"/>
      <c r="G132" s="37"/>
      <c r="H132" s="37"/>
      <c r="I132" s="37"/>
      <c r="J132" s="37"/>
      <c r="K132" s="37"/>
      <c r="L132" s="37"/>
      <c r="M132" s="37"/>
      <c r="N132" s="37"/>
      <c r="O132" s="37">
        <f>SUM(O106:O107)</f>
        <v>280.32499999999999</v>
      </c>
      <c r="P132" s="37">
        <f t="shared" ref="P132:AC132" si="31">SUM(P106:P107)</f>
        <v>0</v>
      </c>
      <c r="Q132" s="37">
        <f t="shared" si="31"/>
        <v>0</v>
      </c>
      <c r="R132" s="37">
        <f t="shared" si="31"/>
        <v>0</v>
      </c>
      <c r="S132" s="37">
        <f t="shared" si="31"/>
        <v>0</v>
      </c>
      <c r="T132" s="37">
        <f t="shared" si="31"/>
        <v>222.52100000000002</v>
      </c>
      <c r="U132" s="37">
        <f t="shared" si="31"/>
        <v>216.62</v>
      </c>
      <c r="V132" s="213">
        <f t="shared" si="31"/>
        <v>219.00054785586428</v>
      </c>
      <c r="W132" s="213">
        <f t="shared" si="31"/>
        <v>208.57370349410618</v>
      </c>
      <c r="X132" s="213">
        <f t="shared" si="31"/>
        <v>226.4116714323483</v>
      </c>
      <c r="Y132" s="213">
        <f t="shared" si="31"/>
        <v>226.4116714323483</v>
      </c>
      <c r="Z132" s="213" t="e">
        <f t="shared" si="31"/>
        <v>#REF!</v>
      </c>
      <c r="AA132" s="213" t="e">
        <f t="shared" si="31"/>
        <v>#REF!</v>
      </c>
      <c r="AB132" s="213" t="e">
        <f t="shared" si="31"/>
        <v>#REF!</v>
      </c>
      <c r="AC132" s="213" t="e">
        <f t="shared" si="31"/>
        <v>#REF!</v>
      </c>
      <c r="AD132" s="213"/>
      <c r="AI132" s="21"/>
      <c r="AJ132" s="21"/>
    </row>
    <row r="133" spans="3:36" s="20" customFormat="1" x14ac:dyDescent="0.2">
      <c r="C133" s="17" t="s">
        <v>174</v>
      </c>
      <c r="D133" s="17"/>
      <c r="E133" s="37"/>
      <c r="F133" s="37"/>
      <c r="G133" s="37"/>
      <c r="H133" s="37"/>
      <c r="I133" s="37"/>
      <c r="J133" s="37"/>
      <c r="K133" s="37"/>
      <c r="L133" s="37"/>
      <c r="M133" s="37"/>
      <c r="N133" s="37"/>
      <c r="O133" s="37">
        <f>O131-O132</f>
        <v>1494.962</v>
      </c>
      <c r="P133" s="37"/>
      <c r="Q133" s="37"/>
      <c r="R133" s="37"/>
      <c r="S133" s="37"/>
      <c r="T133" s="37">
        <f t="shared" ref="T133:AC133" si="32">T131-T132</f>
        <v>1069.83</v>
      </c>
      <c r="U133" s="37">
        <f t="shared" si="32"/>
        <v>979.14800000000002</v>
      </c>
      <c r="V133" s="213">
        <f t="shared" si="32"/>
        <v>893.12811881080245</v>
      </c>
      <c r="W133" s="213">
        <f t="shared" si="32"/>
        <v>819.91562983922722</v>
      </c>
      <c r="X133" s="213">
        <f t="shared" si="32"/>
        <v>718.43832856765187</v>
      </c>
      <c r="Y133" s="213">
        <f t="shared" si="32"/>
        <v>718.43832856765187</v>
      </c>
      <c r="Z133" s="213" t="e">
        <f t="shared" si="32"/>
        <v>#REF!</v>
      </c>
      <c r="AA133" s="213" t="e">
        <f t="shared" si="32"/>
        <v>#REF!</v>
      </c>
      <c r="AB133" s="213" t="e">
        <f t="shared" si="32"/>
        <v>#REF!</v>
      </c>
      <c r="AC133" s="213" t="e">
        <f t="shared" si="32"/>
        <v>#REF!</v>
      </c>
      <c r="AD133" s="213"/>
      <c r="AI133" s="21"/>
      <c r="AJ133" s="21"/>
    </row>
    <row r="134" spans="3:36" s="20" customFormat="1" x14ac:dyDescent="0.2">
      <c r="C134" s="17" t="s">
        <v>281</v>
      </c>
      <c r="D134" s="17"/>
      <c r="E134" s="37"/>
      <c r="F134" s="37"/>
      <c r="G134" s="37"/>
      <c r="H134" s="37"/>
      <c r="I134" s="37"/>
      <c r="J134" s="37"/>
      <c r="K134" s="37"/>
      <c r="L134" s="37"/>
      <c r="M134" s="37"/>
      <c r="N134" s="37"/>
      <c r="O134" s="37">
        <f t="shared" ref="O134:AC134" si="33">O103+O104-O119</f>
        <v>436.822</v>
      </c>
      <c r="P134" s="37"/>
      <c r="Q134" s="37"/>
      <c r="R134" s="37"/>
      <c r="S134" s="37"/>
      <c r="T134" s="37">
        <f t="shared" si="33"/>
        <v>311.93599999999998</v>
      </c>
      <c r="U134" s="37">
        <f t="shared" si="33"/>
        <v>365.14399999999995</v>
      </c>
      <c r="V134" s="213">
        <f>V103+V104-V119</f>
        <v>365.14399999999995</v>
      </c>
      <c r="W134" s="213">
        <f t="shared" si="33"/>
        <v>365.14399999999995</v>
      </c>
      <c r="X134" s="213">
        <f t="shared" si="33"/>
        <v>365.14399999999995</v>
      </c>
      <c r="Y134" s="213">
        <f t="shared" si="33"/>
        <v>365.14399999999995</v>
      </c>
      <c r="Z134" s="213">
        <f t="shared" si="33"/>
        <v>0</v>
      </c>
      <c r="AA134" s="213">
        <f t="shared" si="33"/>
        <v>0</v>
      </c>
      <c r="AB134" s="213">
        <f t="shared" si="33"/>
        <v>0</v>
      </c>
      <c r="AC134" s="213">
        <f t="shared" si="33"/>
        <v>0</v>
      </c>
      <c r="AD134" s="213"/>
      <c r="AI134" s="21"/>
      <c r="AJ134" s="21"/>
    </row>
    <row r="135" spans="3:36" s="20" customFormat="1" ht="11.25" customHeight="1" x14ac:dyDescent="0.2">
      <c r="C135" s="17"/>
      <c r="D135" s="17"/>
      <c r="E135" s="17"/>
      <c r="F135" s="17"/>
      <c r="G135" s="17"/>
      <c r="H135" s="17"/>
      <c r="I135" s="17"/>
      <c r="J135" s="17"/>
      <c r="K135" s="17"/>
      <c r="L135" s="17"/>
      <c r="M135" s="17"/>
      <c r="N135" s="17"/>
      <c r="O135" s="17"/>
      <c r="P135" s="17"/>
      <c r="Q135" s="17"/>
      <c r="R135" s="17"/>
      <c r="V135" s="212"/>
      <c r="W135" s="212"/>
      <c r="X135" s="212"/>
      <c r="Y135" s="212"/>
      <c r="Z135" s="212"/>
      <c r="AA135" s="212"/>
      <c r="AB135" s="212"/>
      <c r="AC135" s="212"/>
      <c r="AD135" s="212"/>
      <c r="AI135" s="21"/>
      <c r="AJ135" s="21"/>
    </row>
    <row r="136" spans="3:36" s="20" customFormat="1" x14ac:dyDescent="0.2">
      <c r="C136" s="17" t="s">
        <v>870</v>
      </c>
      <c r="D136" s="17"/>
      <c r="E136" s="61"/>
      <c r="F136" s="61"/>
      <c r="G136" s="61"/>
      <c r="H136" s="61"/>
      <c r="I136" s="61"/>
      <c r="J136" s="61"/>
      <c r="K136" s="61"/>
      <c r="L136" s="61"/>
      <c r="M136" s="61"/>
      <c r="N136" s="61"/>
      <c r="O136" s="61">
        <f t="shared" ref="O136:T136" si="34">-O25/O131</f>
        <v>5.1312266692653069E-2</v>
      </c>
      <c r="P136" s="61"/>
      <c r="Q136" s="61"/>
      <c r="R136" s="61"/>
      <c r="S136" s="61"/>
      <c r="T136" s="61">
        <f t="shared" si="34"/>
        <v>5.9879243332500234E-2</v>
      </c>
      <c r="U136" s="61">
        <f>-U25/U131*4</f>
        <v>5.2943380321266331E-2</v>
      </c>
      <c r="V136" s="214">
        <f>-V25/V131*4</f>
        <v>5.6827956957018762E-2</v>
      </c>
      <c r="W136" s="214">
        <f>-W25/W131*4</f>
        <v>6.144934901285639E-2</v>
      </c>
      <c r="X136" s="214">
        <f>-X25/X131*4</f>
        <v>6.6888924167857328E-2</v>
      </c>
      <c r="Y136" s="214">
        <f t="shared" ref="Y136:AC136" si="35">-Y25/Y131</f>
        <v>6.6917500132296123E-2</v>
      </c>
      <c r="Z136" s="214" t="e">
        <f t="shared" si="35"/>
        <v>#DIV/0!</v>
      </c>
      <c r="AA136" s="214" t="e">
        <f t="shared" si="35"/>
        <v>#DIV/0!</v>
      </c>
      <c r="AB136" s="214" t="e">
        <f t="shared" si="35"/>
        <v>#DIV/0!</v>
      </c>
      <c r="AC136" s="214" t="e">
        <f t="shared" si="35"/>
        <v>#DIV/0!</v>
      </c>
      <c r="AD136" s="214"/>
      <c r="AI136" s="21"/>
      <c r="AJ136" s="21"/>
    </row>
    <row r="137" spans="3:36" s="20" customFormat="1" x14ac:dyDescent="0.2">
      <c r="C137" s="17" t="s">
        <v>176</v>
      </c>
      <c r="D137" s="17"/>
      <c r="E137" s="37"/>
      <c r="F137" s="37"/>
      <c r="G137" s="37"/>
      <c r="H137" s="37"/>
      <c r="I137" s="37"/>
      <c r="J137" s="37"/>
      <c r="K137" s="37"/>
      <c r="L137" s="37"/>
      <c r="M137" s="37"/>
      <c r="N137" s="37"/>
      <c r="O137" s="37">
        <f t="shared" ref="O137:T137" si="36">-O88/O22</f>
        <v>13.040493454227388</v>
      </c>
      <c r="P137" s="37"/>
      <c r="Q137" s="37"/>
      <c r="R137" s="37"/>
      <c r="S137" s="37"/>
      <c r="T137" s="37">
        <f t="shared" si="36"/>
        <v>12.671070526520303</v>
      </c>
      <c r="U137" s="37">
        <f>-U88/U22/4</f>
        <v>12.206345027619207</v>
      </c>
      <c r="V137" s="213">
        <f>-V88/V22/4</f>
        <v>12.034052680221812</v>
      </c>
      <c r="W137" s="213">
        <f>-W88/W22/4</f>
        <v>11.855217190388172</v>
      </c>
      <c r="X137" s="213">
        <f>-X88/X22/4</f>
        <v>11.676381700554531</v>
      </c>
      <c r="Y137" s="213">
        <f t="shared" ref="Y137:AC137" si="37">-Y88/Y22</f>
        <v>11.674817145576613</v>
      </c>
      <c r="Z137" s="213" t="e">
        <f t="shared" si="37"/>
        <v>#DIV/0!</v>
      </c>
      <c r="AA137" s="213" t="e">
        <f t="shared" si="37"/>
        <v>#DIV/0!</v>
      </c>
      <c r="AB137" s="213" t="e">
        <f t="shared" si="37"/>
        <v>#DIV/0!</v>
      </c>
      <c r="AC137" s="213" t="e">
        <f t="shared" si="37"/>
        <v>#DIV/0!</v>
      </c>
      <c r="AD137" s="213"/>
      <c r="AI137" s="21"/>
      <c r="AJ137" s="21"/>
    </row>
    <row r="138" spans="3:36" s="20" customFormat="1" x14ac:dyDescent="0.2">
      <c r="C138" s="17" t="s">
        <v>1085</v>
      </c>
      <c r="D138" s="17"/>
      <c r="E138" s="37"/>
      <c r="F138" s="37"/>
      <c r="G138" s="37"/>
      <c r="H138" s="37"/>
      <c r="I138" s="37"/>
      <c r="J138" s="37"/>
      <c r="K138" s="37"/>
      <c r="L138" s="37"/>
      <c r="M138" s="37"/>
      <c r="N138" s="37"/>
      <c r="O138" s="184"/>
      <c r="P138" s="184"/>
      <c r="Q138" s="184"/>
      <c r="R138" s="184"/>
      <c r="S138" s="184"/>
      <c r="T138" s="184">
        <v>0.26300000000000001</v>
      </c>
      <c r="U138" s="184">
        <v>0.24199999999999999</v>
      </c>
      <c r="V138" s="215">
        <f>V131/$M$362</f>
        <v>0.25178242165025</v>
      </c>
      <c r="W138" s="215">
        <f t="shared" ref="W138:Y138" si="38">W131/$M$362</f>
        <v>0.23284674044440709</v>
      </c>
      <c r="X138" s="215">
        <f t="shared" si="38"/>
        <v>0.21391105923856418</v>
      </c>
      <c r="Y138" s="215">
        <f t="shared" si="38"/>
        <v>0.21391105923856418</v>
      </c>
      <c r="Z138" s="215" t="e">
        <f>Z131/#REF!</f>
        <v>#REF!</v>
      </c>
      <c r="AA138" s="215" t="e">
        <f>AA131/#REF!</f>
        <v>#REF!</v>
      </c>
      <c r="AB138" s="215" t="e">
        <f>AB131/#REF!</f>
        <v>#REF!</v>
      </c>
      <c r="AC138" s="215" t="e">
        <f>AC131/#REF!</f>
        <v>#REF!</v>
      </c>
      <c r="AD138" s="213"/>
      <c r="AI138" s="21"/>
      <c r="AJ138" s="21"/>
    </row>
    <row r="139" spans="3:36" s="20" customFormat="1" x14ac:dyDescent="0.2">
      <c r="C139" s="17"/>
      <c r="D139" s="17"/>
      <c r="E139" s="17"/>
      <c r="F139" s="17"/>
      <c r="G139" s="17"/>
      <c r="H139" s="17"/>
      <c r="I139" s="17"/>
      <c r="J139" s="17"/>
      <c r="K139" s="17"/>
      <c r="L139" s="17"/>
      <c r="M139" s="17"/>
      <c r="N139" s="17"/>
      <c r="O139" s="17"/>
      <c r="P139" s="17"/>
      <c r="Q139" s="17"/>
      <c r="R139" s="17"/>
      <c r="T139" s="181"/>
      <c r="U139" s="181"/>
      <c r="AI139" s="21"/>
      <c r="AJ139" s="21"/>
    </row>
    <row r="140" spans="3:36" s="20" customFormat="1" x14ac:dyDescent="0.2">
      <c r="C140" s="30" t="s">
        <v>177</v>
      </c>
      <c r="D140" s="30"/>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I140" s="21"/>
      <c r="AJ140" s="21"/>
    </row>
    <row r="141" spans="3:36" outlineLevel="1" x14ac:dyDescent="0.2">
      <c r="C141" s="17" t="s">
        <v>753</v>
      </c>
      <c r="D141" s="20"/>
      <c r="T141" s="57" t="s">
        <v>754</v>
      </c>
      <c r="U141" s="155">
        <f>10455/90/119</f>
        <v>0.97619047619047628</v>
      </c>
      <c r="V141" s="128">
        <v>0.95</v>
      </c>
      <c r="W141" s="128">
        <v>0.95</v>
      </c>
      <c r="X141" s="128">
        <v>0.95</v>
      </c>
      <c r="Y141" s="128"/>
      <c r="Z141" s="128"/>
      <c r="AA141" s="128"/>
      <c r="AB141" s="128"/>
      <c r="AC141" s="128"/>
      <c r="AD141" s="128"/>
      <c r="AH141" s="21"/>
      <c r="AJ141" s="17"/>
    </row>
    <row r="142" spans="3:36" outlineLevel="1" x14ac:dyDescent="0.2">
      <c r="C142" s="17" t="s">
        <v>755</v>
      </c>
      <c r="D142" s="20"/>
      <c r="T142" s="123" t="s">
        <v>755</v>
      </c>
      <c r="U142" s="118">
        <v>90</v>
      </c>
      <c r="V142" s="131">
        <v>90</v>
      </c>
      <c r="W142" s="131">
        <v>90</v>
      </c>
      <c r="X142" s="131">
        <v>90</v>
      </c>
      <c r="Y142" s="40"/>
      <c r="Z142" s="40"/>
      <c r="AA142" s="40"/>
      <c r="AB142" s="40"/>
      <c r="AC142" s="40"/>
      <c r="AD142" s="40"/>
      <c r="AH142" s="21"/>
      <c r="AJ142" s="17"/>
    </row>
    <row r="143" spans="3:36" outlineLevel="1" x14ac:dyDescent="0.2">
      <c r="D143" s="20"/>
      <c r="T143" s="123"/>
      <c r="U143" s="118"/>
      <c r="V143" s="131"/>
      <c r="W143" s="131"/>
      <c r="X143" s="131"/>
      <c r="Y143" s="40"/>
      <c r="Z143" s="40"/>
      <c r="AA143" s="40"/>
      <c r="AB143" s="40"/>
      <c r="AC143" s="40"/>
      <c r="AD143" s="40"/>
      <c r="AH143" s="21"/>
      <c r="AJ143" s="17"/>
    </row>
    <row r="144" spans="3:36" outlineLevel="1" x14ac:dyDescent="0.2">
      <c r="C144" s="17" t="s">
        <v>1111</v>
      </c>
      <c r="D144" s="20"/>
      <c r="T144" s="123"/>
      <c r="U144" s="222">
        <f>483/6/91</f>
        <v>0.88461538461538458</v>
      </c>
      <c r="V144" s="224"/>
      <c r="W144" s="131"/>
      <c r="X144" s="131"/>
      <c r="Y144" s="40"/>
      <c r="Z144" s="40"/>
      <c r="AA144" s="40"/>
      <c r="AB144" s="40"/>
      <c r="AC144" s="40"/>
      <c r="AD144" s="40"/>
      <c r="AH144" s="21"/>
      <c r="AJ144" s="17"/>
    </row>
    <row r="145" spans="3:36" outlineLevel="1" x14ac:dyDescent="0.2">
      <c r="C145" s="17" t="s">
        <v>1112</v>
      </c>
      <c r="D145" s="20"/>
      <c r="T145" s="123"/>
      <c r="U145" s="222">
        <f>2545/29/91</f>
        <v>0.9643804471390679</v>
      </c>
      <c r="V145" s="224"/>
      <c r="W145" s="131"/>
      <c r="X145" s="131"/>
      <c r="Y145" s="40"/>
      <c r="Z145" s="40"/>
      <c r="AA145" s="40"/>
      <c r="AB145" s="40"/>
      <c r="AC145" s="40"/>
      <c r="AD145" s="40"/>
      <c r="AH145" s="21"/>
      <c r="AJ145" s="17"/>
    </row>
    <row r="146" spans="3:36" outlineLevel="1" x14ac:dyDescent="0.2">
      <c r="C146" s="17" t="s">
        <v>1113</v>
      </c>
      <c r="D146" s="20"/>
      <c r="T146" s="123"/>
      <c r="U146" s="222">
        <f>5243/91/60</f>
        <v>0.96025641025641018</v>
      </c>
      <c r="V146" s="224"/>
      <c r="W146" s="131"/>
      <c r="X146" s="131"/>
      <c r="Y146" s="40"/>
      <c r="Z146" s="40"/>
      <c r="AA146" s="40"/>
      <c r="AB146" s="40"/>
      <c r="AC146" s="40"/>
      <c r="AD146" s="40"/>
      <c r="AH146" s="21"/>
      <c r="AJ146" s="17"/>
    </row>
    <row r="147" spans="3:36" outlineLevel="1" x14ac:dyDescent="0.2">
      <c r="C147" s="17" t="s">
        <v>1114</v>
      </c>
      <c r="D147" s="20"/>
      <c r="T147" s="123"/>
      <c r="U147" s="222">
        <f>2184/91/24</f>
        <v>1</v>
      </c>
      <c r="V147" s="224"/>
      <c r="W147" s="131"/>
      <c r="X147" s="131"/>
      <c r="Y147" s="40"/>
      <c r="Z147" s="40"/>
      <c r="AA147" s="40"/>
      <c r="AB147" s="40"/>
      <c r="AC147" s="40"/>
      <c r="AD147" s="40"/>
      <c r="AH147" s="21"/>
      <c r="AJ147" s="17"/>
    </row>
    <row r="148" spans="3:36" outlineLevel="1" x14ac:dyDescent="0.2">
      <c r="D148" s="20"/>
      <c r="T148" s="123"/>
      <c r="U148" s="118"/>
      <c r="V148" s="131"/>
      <c r="W148" s="131"/>
      <c r="X148" s="131"/>
      <c r="Y148" s="40"/>
      <c r="Z148" s="40"/>
      <c r="AA148" s="40"/>
      <c r="AB148" s="40"/>
      <c r="AC148" s="40"/>
      <c r="AD148" s="40"/>
      <c r="AH148" s="21"/>
      <c r="AJ148" s="17"/>
    </row>
    <row r="149" spans="3:36" outlineLevel="1" x14ac:dyDescent="0.2">
      <c r="C149" s="17" t="s">
        <v>1107</v>
      </c>
      <c r="D149" s="20" t="s">
        <v>17</v>
      </c>
      <c r="T149" s="123"/>
      <c r="U149" s="118"/>
      <c r="V149" s="145">
        <v>0.85</v>
      </c>
      <c r="W149" s="145"/>
      <c r="X149" s="145"/>
      <c r="Y149" s="145"/>
      <c r="Z149" s="145"/>
      <c r="AA149" s="145"/>
      <c r="AB149" s="145"/>
      <c r="AC149" s="145"/>
      <c r="AD149" s="145"/>
      <c r="AH149" s="21"/>
      <c r="AJ149" s="17"/>
    </row>
    <row r="150" spans="3:36" outlineLevel="1" x14ac:dyDescent="0.2">
      <c r="C150" s="17" t="s">
        <v>1108</v>
      </c>
      <c r="D150" s="20" t="s">
        <v>14</v>
      </c>
      <c r="T150" s="123"/>
      <c r="U150" s="118"/>
      <c r="V150" s="145">
        <v>0.54</v>
      </c>
      <c r="W150" s="145"/>
      <c r="X150" s="145"/>
      <c r="Y150" s="145"/>
      <c r="Z150" s="145"/>
      <c r="AA150" s="145"/>
      <c r="AB150" s="145"/>
      <c r="AC150" s="145"/>
      <c r="AD150" s="145"/>
      <c r="AH150" s="21"/>
      <c r="AJ150" s="17"/>
    </row>
    <row r="151" spans="3:36" outlineLevel="1" x14ac:dyDescent="0.2">
      <c r="C151" s="17" t="s">
        <v>1109</v>
      </c>
      <c r="D151" s="20" t="s">
        <v>15</v>
      </c>
      <c r="T151" s="123"/>
      <c r="U151" s="118"/>
      <c r="V151" s="145">
        <v>0.67</v>
      </c>
      <c r="W151" s="145"/>
      <c r="X151" s="145"/>
      <c r="Y151" s="145"/>
      <c r="Z151" s="145"/>
      <c r="AA151" s="145"/>
      <c r="AB151" s="145"/>
      <c r="AC151" s="145"/>
      <c r="AD151" s="145"/>
      <c r="AH151" s="21"/>
      <c r="AJ151" s="17"/>
    </row>
    <row r="152" spans="3:36" outlineLevel="1" x14ac:dyDescent="0.2">
      <c r="C152" s="17" t="s">
        <v>1110</v>
      </c>
      <c r="D152" s="20" t="s">
        <v>1094</v>
      </c>
      <c r="T152" s="123"/>
      <c r="U152" s="118"/>
      <c r="V152" s="145">
        <v>0.83</v>
      </c>
      <c r="W152" s="145"/>
      <c r="X152" s="145"/>
      <c r="Y152" s="145"/>
      <c r="Z152" s="145"/>
      <c r="AA152" s="145"/>
      <c r="AB152" s="145"/>
      <c r="AC152" s="145"/>
      <c r="AD152" s="145"/>
      <c r="AH152" s="21"/>
      <c r="AJ152" s="17"/>
    </row>
    <row r="153" spans="3:36" outlineLevel="1" x14ac:dyDescent="0.2">
      <c r="D153" s="20"/>
      <c r="T153" s="123"/>
      <c r="U153" s="118"/>
      <c r="V153" s="145"/>
      <c r="W153" s="131"/>
      <c r="X153" s="131"/>
      <c r="Y153" s="40"/>
      <c r="Z153" s="40"/>
      <c r="AA153" s="40"/>
      <c r="AB153" s="40"/>
      <c r="AC153" s="40"/>
      <c r="AD153" s="40"/>
      <c r="AH153" s="21"/>
      <c r="AJ153" s="17"/>
    </row>
    <row r="154" spans="3:36" outlineLevel="1" x14ac:dyDescent="0.2">
      <c r="C154" s="17" t="s">
        <v>1115</v>
      </c>
      <c r="D154" s="20" t="s">
        <v>17</v>
      </c>
      <c r="T154" s="123"/>
      <c r="U154" s="118"/>
      <c r="V154" s="223">
        <v>40814</v>
      </c>
      <c r="W154" s="223"/>
      <c r="X154" s="223"/>
      <c r="Y154" s="223"/>
      <c r="Z154" s="223"/>
      <c r="AA154" s="223"/>
      <c r="AB154" s="223"/>
      <c r="AC154" s="223"/>
      <c r="AD154" s="223"/>
      <c r="AH154" s="21"/>
      <c r="AJ154" s="17"/>
    </row>
    <row r="155" spans="3:36" outlineLevel="1" x14ac:dyDescent="0.2">
      <c r="C155" s="17" t="s">
        <v>1116</v>
      </c>
      <c r="D155" s="20" t="s">
        <v>14</v>
      </c>
      <c r="T155" s="123"/>
      <c r="U155" s="118"/>
      <c r="V155" s="223">
        <v>48681</v>
      </c>
      <c r="W155" s="223"/>
      <c r="X155" s="223"/>
      <c r="Y155" s="223"/>
      <c r="Z155" s="223"/>
      <c r="AA155" s="223"/>
      <c r="AB155" s="223"/>
      <c r="AC155" s="223"/>
      <c r="AD155" s="223"/>
      <c r="AH155" s="21"/>
      <c r="AJ155" s="17"/>
    </row>
    <row r="156" spans="3:36" outlineLevel="1" x14ac:dyDescent="0.2">
      <c r="C156" s="17" t="s">
        <v>1117</v>
      </c>
      <c r="D156" s="20" t="s">
        <v>15</v>
      </c>
      <c r="T156" s="123"/>
      <c r="U156" s="118"/>
      <c r="V156" s="223">
        <v>34900</v>
      </c>
      <c r="W156" s="223"/>
      <c r="X156" s="223"/>
      <c r="Y156" s="223"/>
      <c r="Z156" s="223"/>
      <c r="AA156" s="223"/>
      <c r="AB156" s="223"/>
      <c r="AC156" s="223"/>
      <c r="AD156" s="223"/>
      <c r="AH156" s="21"/>
      <c r="AJ156" s="17"/>
    </row>
    <row r="157" spans="3:36" outlineLevel="1" x14ac:dyDescent="0.2">
      <c r="C157" s="17" t="s">
        <v>1118</v>
      </c>
      <c r="D157" s="20" t="s">
        <v>1094</v>
      </c>
      <c r="T157" s="123"/>
      <c r="U157" s="118"/>
      <c r="V157" s="223">
        <v>32602</v>
      </c>
      <c r="W157" s="223"/>
      <c r="X157" s="223"/>
      <c r="Y157" s="223"/>
      <c r="Z157" s="223"/>
      <c r="AA157" s="223"/>
      <c r="AB157" s="223"/>
      <c r="AC157" s="223"/>
      <c r="AD157" s="223"/>
      <c r="AH157" s="21"/>
      <c r="AJ157" s="17"/>
    </row>
    <row r="158" spans="3:36" outlineLevel="1" x14ac:dyDescent="0.2">
      <c r="D158" s="20"/>
      <c r="T158" s="123"/>
      <c r="U158" s="118"/>
      <c r="V158" s="216"/>
      <c r="W158" s="216"/>
      <c r="X158" s="216"/>
      <c r="Y158" s="216"/>
      <c r="Z158" s="216"/>
      <c r="AA158" s="216"/>
      <c r="AB158" s="216"/>
      <c r="AC158" s="216"/>
      <c r="AD158" s="216"/>
      <c r="AH158" s="21"/>
      <c r="AJ158" s="17"/>
    </row>
    <row r="159" spans="3:36" s="20" customFormat="1" outlineLevel="1" x14ac:dyDescent="0.2">
      <c r="C159" s="49" t="s">
        <v>192</v>
      </c>
      <c r="D159" s="49" t="s">
        <v>193</v>
      </c>
      <c r="E159" s="60" t="s">
        <v>1079</v>
      </c>
      <c r="F159" s="60" t="s">
        <v>320</v>
      </c>
      <c r="G159" s="51" t="s">
        <v>198</v>
      </c>
      <c r="H159" s="51" t="s">
        <v>1086</v>
      </c>
      <c r="I159" s="52" t="s">
        <v>200</v>
      </c>
      <c r="J159" s="53" t="s">
        <v>194</v>
      </c>
      <c r="K159" s="53" t="s">
        <v>195</v>
      </c>
      <c r="L159" s="52" t="s">
        <v>196</v>
      </c>
      <c r="M159" s="52" t="s">
        <v>199</v>
      </c>
      <c r="N159" s="52" t="s">
        <v>1102</v>
      </c>
      <c r="O159" s="1"/>
      <c r="P159" s="77" t="s">
        <v>720</v>
      </c>
      <c r="Q159" s="77" t="s">
        <v>721</v>
      </c>
      <c r="R159" s="77" t="s">
        <v>722</v>
      </c>
      <c r="S159" s="77" t="s">
        <v>723</v>
      </c>
      <c r="U159" s="156" t="s">
        <v>1124</v>
      </c>
      <c r="V159" s="156" t="s">
        <v>1097</v>
      </c>
      <c r="W159" s="156" t="s">
        <v>1095</v>
      </c>
      <c r="X159" s="156" t="s">
        <v>1096</v>
      </c>
      <c r="Y159" s="156" t="s">
        <v>1100</v>
      </c>
      <c r="Z159" s="156"/>
      <c r="AA159" s="156"/>
      <c r="AB159" s="156"/>
      <c r="AC159" s="156"/>
      <c r="AD159" s="156"/>
      <c r="AI159" s="21"/>
      <c r="AJ159" s="21"/>
    </row>
    <row r="160" spans="3:36" s="20" customFormat="1" outlineLevel="1" x14ac:dyDescent="0.2">
      <c r="C160" s="157" t="s">
        <v>871</v>
      </c>
      <c r="D160" s="157" t="s">
        <v>17</v>
      </c>
      <c r="E160" s="157" t="s">
        <v>17</v>
      </c>
      <c r="F160" s="158" t="s">
        <v>321</v>
      </c>
      <c r="G160" s="118">
        <v>1</v>
      </c>
      <c r="H160" s="152">
        <f>INDEX(Premiums!$G$27:$G$30,MATCH(Hafnia!E160,Premiums!$E$27:$E$30,0))*G160</f>
        <v>4027.898630136986</v>
      </c>
      <c r="I160" s="186">
        <v>109999</v>
      </c>
      <c r="J160" s="159">
        <v>2024</v>
      </c>
      <c r="K160" s="62">
        <v>2024</v>
      </c>
      <c r="L160" s="56">
        <f t="shared" ref="L160:L191" si="39">+(K160-J160)</f>
        <v>0</v>
      </c>
      <c r="M160" s="1">
        <f>(P160*L160^3+Q160*L160^2+R160*L160+S160)*N160</f>
        <v>43.3825174825175</v>
      </c>
      <c r="N160" s="184">
        <v>0.5</v>
      </c>
      <c r="O160" s="1"/>
      <c r="P160" s="4">
        <f>INDEX('Vessel Valuations'!F$34:F$50,MATCH($E160,'Vessel Valuations'!$C$34:$C$50,0))</f>
        <v>2.6138306138306249E-4</v>
      </c>
      <c r="Q160" s="4">
        <f>INDEX('Vessel Valuations'!G$34:G$50,MATCH($E160,'Vessel Valuations'!$C$34:$C$50,0))</f>
        <v>3.1039627039626976E-2</v>
      </c>
      <c r="R160" s="4">
        <f>INDEX('Vessel Valuations'!H$34:H$50,MATCH($E160,'Vessel Valuations'!$C$34:$C$50,0))</f>
        <v>-3.7243900543900543</v>
      </c>
      <c r="S160" s="4">
        <f>INDEX('Vessel Valuations'!I$34:I$50,MATCH($E160,'Vessel Valuations'!$C$34:$C$50,0))</f>
        <v>86.765034965034999</v>
      </c>
      <c r="U160" s="202">
        <v>52813</v>
      </c>
      <c r="V160" s="185">
        <f>((INDEX('FFA &amp; Spot Rates'!F$23:F$43,MATCH(Hafnia!$E160,'FFA &amp; Spot Rates'!$C$23:$C$43,0))+$H160)*(1-INDEX(V$149:V$152,MATCH(Hafnia!$E160,$D$149:$D$152,0)))+INDEX(V$149:V$152,MATCH(Hafnia!$E160,$D$149:$D$152,0))*INDEX(V$154:V$157,MATCH(Hafnia!$E160,$D$154:$D$157,0)))*$N160</f>
        <v>21081.842397260276</v>
      </c>
      <c r="W160" s="185">
        <f>((INDEX('FFA &amp; Spot Rates'!G$23:G$43,MATCH(Hafnia!$E160,'FFA &amp; Spot Rates'!$C$23:$C$43,0))+$H160)*(1-INDEX(W$149:W$152,MATCH(Hafnia!$E160,$D$149:$D$152,0)))+INDEX(W$149:W$152,MATCH(Hafnia!$E160,$D$149:$D$152,0))*INDEX(W$154:W$157,MATCH(Hafnia!$E160,$D$154:$D$157,0)))*$N160</f>
        <v>23233.449315068494</v>
      </c>
      <c r="X160" s="185">
        <f>((INDEX('FFA &amp; Spot Rates'!H$23:H$43,MATCH(Hafnia!$E160,'FFA &amp; Spot Rates'!$C$23:$C$43,0))+$H160)*(1-INDEX(X$149:X$152,MATCH(Hafnia!$E160,$D$149:$D$152,0)))+INDEX(X$149:X$152,MATCH(Hafnia!$E160,$D$149:$D$152,0))*INDEX(X$154:X$157,MATCH(Hafnia!$E160,$D$154:$D$157,0)))*$N160</f>
        <v>33436.949315068494</v>
      </c>
      <c r="Y160" s="185">
        <f>AVERAGE(U160:X160)</f>
        <v>32641.310256849312</v>
      </c>
      <c r="Z160" s="185"/>
      <c r="AA160" s="185"/>
      <c r="AB160" s="185"/>
      <c r="AC160" s="185"/>
      <c r="AD160" s="185"/>
      <c r="AI160" s="21"/>
      <c r="AJ160" s="21"/>
    </row>
    <row r="161" spans="3:36" s="20" customFormat="1" outlineLevel="1" x14ac:dyDescent="0.2">
      <c r="C161" s="157" t="s">
        <v>872</v>
      </c>
      <c r="D161" s="157" t="s">
        <v>17</v>
      </c>
      <c r="E161" s="157" t="s">
        <v>17</v>
      </c>
      <c r="F161" s="158" t="s">
        <v>321</v>
      </c>
      <c r="G161" s="118">
        <v>1</v>
      </c>
      <c r="H161" s="152">
        <f>INDEX(Premiums!$G$27:$G$30,MATCH(Hafnia!E161,Premiums!$E$27:$E$30,0))*G161</f>
        <v>4027.898630136986</v>
      </c>
      <c r="I161" s="186">
        <v>109999</v>
      </c>
      <c r="J161" s="159">
        <v>2023</v>
      </c>
      <c r="K161" s="63">
        <v>2024</v>
      </c>
      <c r="L161" s="56">
        <f t="shared" si="39"/>
        <v>1</v>
      </c>
      <c r="M161" s="1">
        <f>(P161*L161^3+Q161*L161^2+R161*L161+S161)*N161</f>
        <v>41.53597296037298</v>
      </c>
      <c r="N161" s="184">
        <v>0.5</v>
      </c>
      <c r="O161" s="1"/>
      <c r="P161" s="4">
        <f>INDEX('Vessel Valuations'!F$34:F$50,MATCH($E161,'Vessel Valuations'!$C$34:$C$50,0))</f>
        <v>2.6138306138306249E-4</v>
      </c>
      <c r="Q161" s="4">
        <f>INDEX('Vessel Valuations'!G$34:G$50,MATCH($E161,'Vessel Valuations'!$C$34:$C$50,0))</f>
        <v>3.1039627039626976E-2</v>
      </c>
      <c r="R161" s="4">
        <f>INDEX('Vessel Valuations'!H$34:H$50,MATCH($E161,'Vessel Valuations'!$C$34:$C$50,0))</f>
        <v>-3.7243900543900543</v>
      </c>
      <c r="S161" s="4">
        <f>INDEX('Vessel Valuations'!I$34:I$50,MATCH($E161,'Vessel Valuations'!$C$34:$C$50,0))</f>
        <v>86.765034965034999</v>
      </c>
      <c r="U161" s="202">
        <v>52813</v>
      </c>
      <c r="V161" s="185">
        <f>((INDEX('FFA &amp; Spot Rates'!F$23:F$43,MATCH(Hafnia!$E161,'FFA &amp; Spot Rates'!$C$23:$C$43,0))+$H161)*(1-INDEX(V$149:V$152,MATCH(Hafnia!$E161,$D$149:$D$152,0)))+INDEX(V$149:V$152,MATCH(Hafnia!$E161,$D$149:$D$152,0))*INDEX(V$154:V$157,MATCH(Hafnia!$E161,$D$154:$D$157,0)))*$N161</f>
        <v>21081.842397260276</v>
      </c>
      <c r="W161" s="185">
        <f>((INDEX('FFA &amp; Spot Rates'!G$23:G$43,MATCH(Hafnia!$E161,'FFA &amp; Spot Rates'!$C$23:$C$43,0))+$H161)*(1-INDEX(W$149:W$152,MATCH(Hafnia!$E161,$D$149:$D$152,0)))+INDEX(W$149:W$152,MATCH(Hafnia!$E161,$D$149:$D$152,0))*INDEX(W$154:W$157,MATCH(Hafnia!$E161,$D$154:$D$157,0)))*$N161</f>
        <v>23233.449315068494</v>
      </c>
      <c r="X161" s="185">
        <f>((INDEX('FFA &amp; Spot Rates'!H$23:H$43,MATCH(Hafnia!$E161,'FFA &amp; Spot Rates'!$C$23:$C$43,0))+$H161)*(1-INDEX(X$149:X$152,MATCH(Hafnia!$E161,$D$149:$D$152,0)))+INDEX(X$149:X$152,MATCH(Hafnia!$E161,$D$149:$D$152,0))*INDEX(X$154:X$157,MATCH(Hafnia!$E161,$D$154:$D$157,0)))*$N161</f>
        <v>33436.949315068494</v>
      </c>
      <c r="Y161" s="185">
        <f t="shared" ref="Y161:Y224" si="40">AVERAGE(U161:X161)</f>
        <v>32641.310256849312</v>
      </c>
      <c r="Z161" s="185"/>
      <c r="AA161" s="185"/>
      <c r="AB161" s="185"/>
      <c r="AC161" s="185"/>
      <c r="AD161" s="185"/>
      <c r="AI161" s="21"/>
      <c r="AJ161" s="21"/>
    </row>
    <row r="162" spans="3:36" s="20" customFormat="1" outlineLevel="1" x14ac:dyDescent="0.2">
      <c r="C162" s="157" t="s">
        <v>873</v>
      </c>
      <c r="D162" s="157" t="s">
        <v>17</v>
      </c>
      <c r="E162" s="157" t="s">
        <v>17</v>
      </c>
      <c r="F162" s="158" t="s">
        <v>321</v>
      </c>
      <c r="G162" s="118">
        <v>1</v>
      </c>
      <c r="H162" s="152">
        <f>INDEX(Premiums!$G$27:$G$30,MATCH(Hafnia!E162,Premiums!$E$27:$E$30,0))*G162</f>
        <v>4027.898630136986</v>
      </c>
      <c r="I162" s="186">
        <v>109990</v>
      </c>
      <c r="J162" s="159">
        <v>2019</v>
      </c>
      <c r="K162" s="63">
        <v>2024</v>
      </c>
      <c r="L162" s="56">
        <f t="shared" si="39"/>
        <v>5</v>
      </c>
      <c r="M162" s="1">
        <f t="shared" ref="M162:M224" si="41">(P162*L162^3+Q162*L162^2+R162*L162+S162)*N162</f>
        <v>68.951748251748285</v>
      </c>
      <c r="N162" s="184">
        <v>1</v>
      </c>
      <c r="O162" s="1"/>
      <c r="P162" s="4">
        <f>INDEX('Vessel Valuations'!F$34:F$50,MATCH($E162,'Vessel Valuations'!$C$34:$C$50,0))</f>
        <v>2.6138306138306249E-4</v>
      </c>
      <c r="Q162" s="4">
        <f>INDEX('Vessel Valuations'!G$34:G$50,MATCH($E162,'Vessel Valuations'!$C$34:$C$50,0))</f>
        <v>3.1039627039626976E-2</v>
      </c>
      <c r="R162" s="4">
        <f>INDEX('Vessel Valuations'!H$34:H$50,MATCH($E162,'Vessel Valuations'!$C$34:$C$50,0))</f>
        <v>-3.7243900543900543</v>
      </c>
      <c r="S162" s="4">
        <f>INDEX('Vessel Valuations'!I$34:I$50,MATCH($E162,'Vessel Valuations'!$C$34:$C$50,0))</f>
        <v>86.765034965034999</v>
      </c>
      <c r="U162" s="202">
        <v>52813</v>
      </c>
      <c r="V162" s="185">
        <f>((INDEX('FFA &amp; Spot Rates'!F$23:F$43,MATCH(Hafnia!$E162,'FFA &amp; Spot Rates'!$C$23:$C$43,0))+$H162)*(1-INDEX(V$149:V$152,MATCH(Hafnia!$E162,$D$149:$D$152,0)))+INDEX(V$149:V$152,MATCH(Hafnia!$E162,$D$149:$D$152,0))*INDEX(V$154:V$157,MATCH(Hafnia!$E162,$D$154:$D$157,0)))*$N162</f>
        <v>42163.684794520552</v>
      </c>
      <c r="W162" s="185">
        <f>((INDEX('FFA &amp; Spot Rates'!G$23:G$43,MATCH(Hafnia!$E162,'FFA &amp; Spot Rates'!$C$23:$C$43,0))+$H162)*(1-INDEX(W$149:W$152,MATCH(Hafnia!$E162,$D$149:$D$152,0)))+INDEX(W$149:W$152,MATCH(Hafnia!$E162,$D$149:$D$152,0))*INDEX(W$154:W$157,MATCH(Hafnia!$E162,$D$154:$D$157,0)))*$N162</f>
        <v>46466.898630136988</v>
      </c>
      <c r="X162" s="185">
        <f>((INDEX('FFA &amp; Spot Rates'!H$23:H$43,MATCH(Hafnia!$E162,'FFA &amp; Spot Rates'!$C$23:$C$43,0))+$H162)*(1-INDEX(X$149:X$152,MATCH(Hafnia!$E162,$D$149:$D$152,0)))+INDEX(X$149:X$152,MATCH(Hafnia!$E162,$D$149:$D$152,0))*INDEX(X$154:X$157,MATCH(Hafnia!$E162,$D$154:$D$157,0)))*$N162</f>
        <v>66873.898630136988</v>
      </c>
      <c r="Y162" s="185">
        <f t="shared" si="40"/>
        <v>52079.370513698625</v>
      </c>
      <c r="Z162" s="185"/>
      <c r="AA162" s="185"/>
      <c r="AB162" s="185"/>
      <c r="AC162" s="185"/>
      <c r="AD162" s="185"/>
      <c r="AI162" s="21"/>
      <c r="AJ162" s="21"/>
    </row>
    <row r="163" spans="3:36" s="20" customFormat="1" outlineLevel="1" x14ac:dyDescent="0.2">
      <c r="C163" s="157" t="s">
        <v>874</v>
      </c>
      <c r="D163" s="157" t="s">
        <v>17</v>
      </c>
      <c r="E163" s="157" t="s">
        <v>17</v>
      </c>
      <c r="F163" s="158" t="s">
        <v>321</v>
      </c>
      <c r="G163" s="118">
        <v>1</v>
      </c>
      <c r="H163" s="152">
        <f>INDEX(Premiums!$G$27:$G$30,MATCH(Hafnia!E163,Premiums!$E$27:$E$30,0))*G163</f>
        <v>4027.898630136986</v>
      </c>
      <c r="I163" s="186">
        <v>109990</v>
      </c>
      <c r="J163" s="159">
        <v>2019</v>
      </c>
      <c r="K163" s="63">
        <v>2024</v>
      </c>
      <c r="L163" s="56">
        <f t="shared" si="39"/>
        <v>5</v>
      </c>
      <c r="M163" s="1">
        <f t="shared" si="41"/>
        <v>68.951748251748285</v>
      </c>
      <c r="N163" s="184">
        <v>1</v>
      </c>
      <c r="O163" s="1"/>
      <c r="P163" s="4">
        <f>INDEX('Vessel Valuations'!F$34:F$50,MATCH($E163,'Vessel Valuations'!$C$34:$C$50,0))</f>
        <v>2.6138306138306249E-4</v>
      </c>
      <c r="Q163" s="4">
        <f>INDEX('Vessel Valuations'!G$34:G$50,MATCH($E163,'Vessel Valuations'!$C$34:$C$50,0))</f>
        <v>3.1039627039626976E-2</v>
      </c>
      <c r="R163" s="4">
        <f>INDEX('Vessel Valuations'!H$34:H$50,MATCH($E163,'Vessel Valuations'!$C$34:$C$50,0))</f>
        <v>-3.7243900543900543</v>
      </c>
      <c r="S163" s="4">
        <f>INDEX('Vessel Valuations'!I$34:I$50,MATCH($E163,'Vessel Valuations'!$C$34:$C$50,0))</f>
        <v>86.765034965034999</v>
      </c>
      <c r="U163" s="202">
        <v>52813</v>
      </c>
      <c r="V163" s="185">
        <f>((INDEX('FFA &amp; Spot Rates'!F$23:F$43,MATCH(Hafnia!$E163,'FFA &amp; Spot Rates'!$C$23:$C$43,0))+$H163)*(1-INDEX(V$149:V$152,MATCH(Hafnia!$E163,$D$149:$D$152,0)))+INDEX(V$149:V$152,MATCH(Hafnia!$E163,$D$149:$D$152,0))*INDEX(V$154:V$157,MATCH(Hafnia!$E163,$D$154:$D$157,0)))*$N163</f>
        <v>42163.684794520552</v>
      </c>
      <c r="W163" s="185">
        <f>((INDEX('FFA &amp; Spot Rates'!G$23:G$43,MATCH(Hafnia!$E163,'FFA &amp; Spot Rates'!$C$23:$C$43,0))+$H163)*(1-INDEX(W$149:W$152,MATCH(Hafnia!$E163,$D$149:$D$152,0)))+INDEX(W$149:W$152,MATCH(Hafnia!$E163,$D$149:$D$152,0))*INDEX(W$154:W$157,MATCH(Hafnia!$E163,$D$154:$D$157,0)))*$N163</f>
        <v>46466.898630136988</v>
      </c>
      <c r="X163" s="185">
        <f>((INDEX('FFA &amp; Spot Rates'!H$23:H$43,MATCH(Hafnia!$E163,'FFA &amp; Spot Rates'!$C$23:$C$43,0))+$H163)*(1-INDEX(X$149:X$152,MATCH(Hafnia!$E163,$D$149:$D$152,0)))+INDEX(X$149:X$152,MATCH(Hafnia!$E163,$D$149:$D$152,0))*INDEX(X$154:X$157,MATCH(Hafnia!$E163,$D$154:$D$157,0)))*$N163</f>
        <v>66873.898630136988</v>
      </c>
      <c r="Y163" s="185">
        <f t="shared" si="40"/>
        <v>52079.370513698625</v>
      </c>
      <c r="Z163" s="185"/>
      <c r="AA163" s="185"/>
      <c r="AB163" s="185"/>
      <c r="AC163" s="185"/>
      <c r="AD163" s="185"/>
      <c r="AI163" s="21"/>
      <c r="AJ163" s="21"/>
    </row>
    <row r="164" spans="3:36" s="20" customFormat="1" outlineLevel="1" x14ac:dyDescent="0.2">
      <c r="C164" s="157" t="s">
        <v>875</v>
      </c>
      <c r="D164" s="157" t="s">
        <v>17</v>
      </c>
      <c r="E164" s="157" t="s">
        <v>17</v>
      </c>
      <c r="F164" s="158" t="s">
        <v>321</v>
      </c>
      <c r="G164" s="118">
        <v>1</v>
      </c>
      <c r="H164" s="152">
        <f>INDEX(Premiums!$G$27:$G$30,MATCH(Hafnia!E164,Premiums!$E$27:$E$30,0))*G164</f>
        <v>4027.898630136986</v>
      </c>
      <c r="I164" s="186">
        <v>109990</v>
      </c>
      <c r="J164" s="159">
        <v>2019</v>
      </c>
      <c r="K164" s="63">
        <v>2024</v>
      </c>
      <c r="L164" s="56">
        <f t="shared" si="39"/>
        <v>5</v>
      </c>
      <c r="M164" s="1">
        <f t="shared" si="41"/>
        <v>68.951748251748285</v>
      </c>
      <c r="N164" s="184">
        <v>1</v>
      </c>
      <c r="O164" s="1"/>
      <c r="P164" s="4">
        <f>INDEX('Vessel Valuations'!F$34:F$50,MATCH($E164,'Vessel Valuations'!$C$34:$C$50,0))</f>
        <v>2.6138306138306249E-4</v>
      </c>
      <c r="Q164" s="4">
        <f>INDEX('Vessel Valuations'!G$34:G$50,MATCH($E164,'Vessel Valuations'!$C$34:$C$50,0))</f>
        <v>3.1039627039626976E-2</v>
      </c>
      <c r="R164" s="4">
        <f>INDEX('Vessel Valuations'!H$34:H$50,MATCH($E164,'Vessel Valuations'!$C$34:$C$50,0))</f>
        <v>-3.7243900543900543</v>
      </c>
      <c r="S164" s="4">
        <f>INDEX('Vessel Valuations'!I$34:I$50,MATCH($E164,'Vessel Valuations'!$C$34:$C$50,0))</f>
        <v>86.765034965034999</v>
      </c>
      <c r="U164" s="202">
        <v>52813</v>
      </c>
      <c r="V164" s="185">
        <f>((INDEX('FFA &amp; Spot Rates'!F$23:F$43,MATCH(Hafnia!$E164,'FFA &amp; Spot Rates'!$C$23:$C$43,0))+$H164)*(1-INDEX(V$149:V$152,MATCH(Hafnia!$E164,$D$149:$D$152,0)))+INDEX(V$149:V$152,MATCH(Hafnia!$E164,$D$149:$D$152,0))*INDEX(V$154:V$157,MATCH(Hafnia!$E164,$D$154:$D$157,0)))*$N164</f>
        <v>42163.684794520552</v>
      </c>
      <c r="W164" s="185">
        <f>((INDEX('FFA &amp; Spot Rates'!G$23:G$43,MATCH(Hafnia!$E164,'FFA &amp; Spot Rates'!$C$23:$C$43,0))+$H164)*(1-INDEX(W$149:W$152,MATCH(Hafnia!$E164,$D$149:$D$152,0)))+INDEX(W$149:W$152,MATCH(Hafnia!$E164,$D$149:$D$152,0))*INDEX(W$154:W$157,MATCH(Hafnia!$E164,$D$154:$D$157,0)))*$N164</f>
        <v>46466.898630136988</v>
      </c>
      <c r="X164" s="185">
        <f>((INDEX('FFA &amp; Spot Rates'!H$23:H$43,MATCH(Hafnia!$E164,'FFA &amp; Spot Rates'!$C$23:$C$43,0))+$H164)*(1-INDEX(X$149:X$152,MATCH(Hafnia!$E164,$D$149:$D$152,0)))+INDEX(X$149:X$152,MATCH(Hafnia!$E164,$D$149:$D$152,0))*INDEX(X$154:X$157,MATCH(Hafnia!$E164,$D$154:$D$157,0)))*$N164</f>
        <v>66873.898630136988</v>
      </c>
      <c r="Y164" s="185">
        <f t="shared" si="40"/>
        <v>52079.370513698625</v>
      </c>
      <c r="Z164" s="185"/>
      <c r="AA164" s="185"/>
      <c r="AB164" s="185"/>
      <c r="AC164" s="185"/>
      <c r="AD164" s="185"/>
      <c r="AI164" s="21"/>
      <c r="AJ164" s="21"/>
    </row>
    <row r="165" spans="3:36" s="20" customFormat="1" outlineLevel="1" x14ac:dyDescent="0.2">
      <c r="C165" s="157" t="s">
        <v>876</v>
      </c>
      <c r="D165" s="157" t="s">
        <v>17</v>
      </c>
      <c r="E165" s="157" t="s">
        <v>17</v>
      </c>
      <c r="F165" s="158" t="s">
        <v>321</v>
      </c>
      <c r="G165" s="118">
        <v>1</v>
      </c>
      <c r="H165" s="152">
        <f>INDEX(Premiums!$G$27:$G$30,MATCH(Hafnia!E165,Premiums!$E$27:$E$30,0))*G165</f>
        <v>4027.898630136986</v>
      </c>
      <c r="I165" s="186">
        <v>109990</v>
      </c>
      <c r="J165" s="159">
        <v>2019</v>
      </c>
      <c r="K165" s="63">
        <v>2024</v>
      </c>
      <c r="L165" s="56">
        <f t="shared" si="39"/>
        <v>5</v>
      </c>
      <c r="M165" s="1">
        <f t="shared" si="41"/>
        <v>68.951748251748285</v>
      </c>
      <c r="N165" s="184">
        <v>1</v>
      </c>
      <c r="O165" s="1"/>
      <c r="P165" s="4">
        <f>INDEX('Vessel Valuations'!F$34:F$50,MATCH($E165,'Vessel Valuations'!$C$34:$C$50,0))</f>
        <v>2.6138306138306249E-4</v>
      </c>
      <c r="Q165" s="4">
        <f>INDEX('Vessel Valuations'!G$34:G$50,MATCH($E165,'Vessel Valuations'!$C$34:$C$50,0))</f>
        <v>3.1039627039626976E-2</v>
      </c>
      <c r="R165" s="4">
        <f>INDEX('Vessel Valuations'!H$34:H$50,MATCH($E165,'Vessel Valuations'!$C$34:$C$50,0))</f>
        <v>-3.7243900543900543</v>
      </c>
      <c r="S165" s="4">
        <f>INDEX('Vessel Valuations'!I$34:I$50,MATCH($E165,'Vessel Valuations'!$C$34:$C$50,0))</f>
        <v>86.765034965034999</v>
      </c>
      <c r="U165" s="202">
        <v>52813</v>
      </c>
      <c r="V165" s="185">
        <f>((INDEX('FFA &amp; Spot Rates'!F$23:F$43,MATCH(Hafnia!$E165,'FFA &amp; Spot Rates'!$C$23:$C$43,0))+$H165)*(1-INDEX(V$149:V$152,MATCH(Hafnia!$E165,$D$149:$D$152,0)))+INDEX(V$149:V$152,MATCH(Hafnia!$E165,$D$149:$D$152,0))*INDEX(V$154:V$157,MATCH(Hafnia!$E165,$D$154:$D$157,0)))*$N165</f>
        <v>42163.684794520552</v>
      </c>
      <c r="W165" s="185">
        <f>((INDEX('FFA &amp; Spot Rates'!G$23:G$43,MATCH(Hafnia!$E165,'FFA &amp; Spot Rates'!$C$23:$C$43,0))+$H165)*(1-INDEX(W$149:W$152,MATCH(Hafnia!$E165,$D$149:$D$152,0)))+INDEX(W$149:W$152,MATCH(Hafnia!$E165,$D$149:$D$152,0))*INDEX(W$154:W$157,MATCH(Hafnia!$E165,$D$154:$D$157,0)))*$N165</f>
        <v>46466.898630136988</v>
      </c>
      <c r="X165" s="185">
        <f>((INDEX('FFA &amp; Spot Rates'!H$23:H$43,MATCH(Hafnia!$E165,'FFA &amp; Spot Rates'!$C$23:$C$43,0))+$H165)*(1-INDEX(X$149:X$152,MATCH(Hafnia!$E165,$D$149:$D$152,0)))+INDEX(X$149:X$152,MATCH(Hafnia!$E165,$D$149:$D$152,0))*INDEX(X$154:X$157,MATCH(Hafnia!$E165,$D$154:$D$157,0)))*$N165</f>
        <v>66873.898630136988</v>
      </c>
      <c r="Y165" s="185">
        <f t="shared" si="40"/>
        <v>52079.370513698625</v>
      </c>
      <c r="Z165" s="185"/>
      <c r="AA165" s="185"/>
      <c r="AB165" s="185"/>
      <c r="AC165" s="185"/>
      <c r="AD165" s="185"/>
      <c r="AI165" s="21"/>
      <c r="AJ165" s="21"/>
    </row>
    <row r="166" spans="3:36" s="20" customFormat="1" outlineLevel="1" x14ac:dyDescent="0.2">
      <c r="C166" s="157" t="s">
        <v>877</v>
      </c>
      <c r="D166" s="157" t="s">
        <v>17</v>
      </c>
      <c r="E166" s="157" t="s">
        <v>17</v>
      </c>
      <c r="F166" s="158" t="s">
        <v>321</v>
      </c>
      <c r="G166" s="118">
        <v>1</v>
      </c>
      <c r="H166" s="152">
        <f>INDEX(Premiums!$G$27:$G$30,MATCH(Hafnia!E166,Premiums!$E$27:$E$30,0))*G166</f>
        <v>4027.898630136986</v>
      </c>
      <c r="I166" s="186">
        <v>99999</v>
      </c>
      <c r="J166" s="159">
        <v>2019</v>
      </c>
      <c r="K166" s="63">
        <v>2024</v>
      </c>
      <c r="L166" s="56">
        <f t="shared" si="39"/>
        <v>5</v>
      </c>
      <c r="M166" s="1">
        <f t="shared" si="41"/>
        <v>68.951748251748285</v>
      </c>
      <c r="N166" s="184">
        <v>1</v>
      </c>
      <c r="O166" s="1"/>
      <c r="P166" s="4">
        <f>INDEX('Vessel Valuations'!F$34:F$50,MATCH($E166,'Vessel Valuations'!$C$34:$C$50,0))</f>
        <v>2.6138306138306249E-4</v>
      </c>
      <c r="Q166" s="4">
        <f>INDEX('Vessel Valuations'!G$34:G$50,MATCH($E166,'Vessel Valuations'!$C$34:$C$50,0))</f>
        <v>3.1039627039626976E-2</v>
      </c>
      <c r="R166" s="4">
        <f>INDEX('Vessel Valuations'!H$34:H$50,MATCH($E166,'Vessel Valuations'!$C$34:$C$50,0))</f>
        <v>-3.7243900543900543</v>
      </c>
      <c r="S166" s="4">
        <f>INDEX('Vessel Valuations'!I$34:I$50,MATCH($E166,'Vessel Valuations'!$C$34:$C$50,0))</f>
        <v>86.765034965034999</v>
      </c>
      <c r="U166" s="202">
        <v>52813</v>
      </c>
      <c r="V166" s="185">
        <f>((INDEX('FFA &amp; Spot Rates'!F$23:F$43,MATCH(Hafnia!$E166,'FFA &amp; Spot Rates'!$C$23:$C$43,0))+$H166)*(1-INDEX(V$149:V$152,MATCH(Hafnia!$E166,$D$149:$D$152,0)))+INDEX(V$149:V$152,MATCH(Hafnia!$E166,$D$149:$D$152,0))*INDEX(V$154:V$157,MATCH(Hafnia!$E166,$D$154:$D$157,0)))*$N166</f>
        <v>42163.684794520552</v>
      </c>
      <c r="W166" s="185">
        <f>((INDEX('FFA &amp; Spot Rates'!G$23:G$43,MATCH(Hafnia!$E166,'FFA &amp; Spot Rates'!$C$23:$C$43,0))+$H166)*(1-INDEX(W$149:W$152,MATCH(Hafnia!$E166,$D$149:$D$152,0)))+INDEX(W$149:W$152,MATCH(Hafnia!$E166,$D$149:$D$152,0))*INDEX(W$154:W$157,MATCH(Hafnia!$E166,$D$154:$D$157,0)))*$N166</f>
        <v>46466.898630136988</v>
      </c>
      <c r="X166" s="185">
        <f>((INDEX('FFA &amp; Spot Rates'!H$23:H$43,MATCH(Hafnia!$E166,'FFA &amp; Spot Rates'!$C$23:$C$43,0))+$H166)*(1-INDEX(X$149:X$152,MATCH(Hafnia!$E166,$D$149:$D$152,0)))+INDEX(X$149:X$152,MATCH(Hafnia!$E166,$D$149:$D$152,0))*INDEX(X$154:X$157,MATCH(Hafnia!$E166,$D$154:$D$157,0)))*$N166</f>
        <v>66873.898630136988</v>
      </c>
      <c r="Y166" s="185">
        <f t="shared" si="40"/>
        <v>52079.370513698625</v>
      </c>
      <c r="Z166" s="185"/>
      <c r="AA166" s="185"/>
      <c r="AB166" s="185"/>
      <c r="AC166" s="185"/>
      <c r="AD166" s="185"/>
      <c r="AI166" s="21"/>
      <c r="AJ166" s="21"/>
    </row>
    <row r="167" spans="3:36" s="20" customFormat="1" outlineLevel="1" x14ac:dyDescent="0.2">
      <c r="C167" s="157" t="s">
        <v>878</v>
      </c>
      <c r="D167" s="157" t="s">
        <v>17</v>
      </c>
      <c r="E167" s="157" t="s">
        <v>17</v>
      </c>
      <c r="F167" s="158" t="s">
        <v>321</v>
      </c>
      <c r="G167" s="118">
        <v>1</v>
      </c>
      <c r="H167" s="152">
        <f>INDEX(Premiums!$G$27:$G$30,MATCH(Hafnia!E167,Premiums!$E$27:$E$30,0))*G167</f>
        <v>4027.898630136986</v>
      </c>
      <c r="I167" s="186">
        <v>99999</v>
      </c>
      <c r="J167" s="159">
        <v>2023</v>
      </c>
      <c r="K167" s="63">
        <v>2024</v>
      </c>
      <c r="L167" s="56">
        <f t="shared" si="39"/>
        <v>1</v>
      </c>
      <c r="M167" s="1">
        <f t="shared" si="41"/>
        <v>41.53597296037298</v>
      </c>
      <c r="N167" s="184">
        <v>0.5</v>
      </c>
      <c r="O167" s="1"/>
      <c r="P167" s="4">
        <f>INDEX('Vessel Valuations'!F$34:F$50,MATCH($E167,'Vessel Valuations'!$C$34:$C$50,0))</f>
        <v>2.6138306138306249E-4</v>
      </c>
      <c r="Q167" s="4">
        <f>INDEX('Vessel Valuations'!G$34:G$50,MATCH($E167,'Vessel Valuations'!$C$34:$C$50,0))</f>
        <v>3.1039627039626976E-2</v>
      </c>
      <c r="R167" s="4">
        <f>INDEX('Vessel Valuations'!H$34:H$50,MATCH($E167,'Vessel Valuations'!$C$34:$C$50,0))</f>
        <v>-3.7243900543900543</v>
      </c>
      <c r="S167" s="4">
        <f>INDEX('Vessel Valuations'!I$34:I$50,MATCH($E167,'Vessel Valuations'!$C$34:$C$50,0))</f>
        <v>86.765034965034999</v>
      </c>
      <c r="U167" s="202">
        <v>52813</v>
      </c>
      <c r="V167" s="185">
        <f>((INDEX('FFA &amp; Spot Rates'!F$23:F$43,MATCH(Hafnia!$E167,'FFA &amp; Spot Rates'!$C$23:$C$43,0))+$H167)*(1-INDEX(V$149:V$152,MATCH(Hafnia!$E167,$D$149:$D$152,0)))+INDEX(V$149:V$152,MATCH(Hafnia!$E167,$D$149:$D$152,0))*INDEX(V$154:V$157,MATCH(Hafnia!$E167,$D$154:$D$157,0)))*$N167</f>
        <v>21081.842397260276</v>
      </c>
      <c r="W167" s="185">
        <f>((INDEX('FFA &amp; Spot Rates'!G$23:G$43,MATCH(Hafnia!$E167,'FFA &amp; Spot Rates'!$C$23:$C$43,0))+$H167)*(1-INDEX(W$149:W$152,MATCH(Hafnia!$E167,$D$149:$D$152,0)))+INDEX(W$149:W$152,MATCH(Hafnia!$E167,$D$149:$D$152,0))*INDEX(W$154:W$157,MATCH(Hafnia!$E167,$D$154:$D$157,0)))*$N167</f>
        <v>23233.449315068494</v>
      </c>
      <c r="X167" s="185">
        <f>((INDEX('FFA &amp; Spot Rates'!H$23:H$43,MATCH(Hafnia!$E167,'FFA &amp; Spot Rates'!$C$23:$C$43,0))+$H167)*(1-INDEX(X$149:X$152,MATCH(Hafnia!$E167,$D$149:$D$152,0)))+INDEX(X$149:X$152,MATCH(Hafnia!$E167,$D$149:$D$152,0))*INDEX(X$154:X$157,MATCH(Hafnia!$E167,$D$154:$D$157,0)))*$N167</f>
        <v>33436.949315068494</v>
      </c>
      <c r="Y167" s="185">
        <f t="shared" si="40"/>
        <v>32641.310256849312</v>
      </c>
      <c r="Z167" s="185"/>
      <c r="AA167" s="185"/>
      <c r="AB167" s="185"/>
      <c r="AC167" s="185"/>
      <c r="AD167" s="185"/>
      <c r="AI167" s="21"/>
      <c r="AJ167" s="21"/>
    </row>
    <row r="168" spans="3:36" s="20" customFormat="1" outlineLevel="1" x14ac:dyDescent="0.2">
      <c r="C168" s="157" t="s">
        <v>879</v>
      </c>
      <c r="D168" s="157" t="s">
        <v>17</v>
      </c>
      <c r="E168" s="157" t="s">
        <v>17</v>
      </c>
      <c r="F168" s="158" t="s">
        <v>321</v>
      </c>
      <c r="G168" s="118">
        <v>1</v>
      </c>
      <c r="H168" s="152">
        <f>INDEX(Premiums!$G$27:$G$30,MATCH(Hafnia!E168,Premiums!$E$27:$E$30,0))*G168</f>
        <v>4027.898630136986</v>
      </c>
      <c r="I168" s="186">
        <v>99999</v>
      </c>
      <c r="J168" s="159">
        <v>2023</v>
      </c>
      <c r="K168" s="63">
        <v>2024</v>
      </c>
      <c r="L168" s="56">
        <f t="shared" si="39"/>
        <v>1</v>
      </c>
      <c r="M168" s="1">
        <f t="shared" si="41"/>
        <v>41.53597296037298</v>
      </c>
      <c r="N168" s="184">
        <v>0.5</v>
      </c>
      <c r="O168" s="1"/>
      <c r="P168" s="4">
        <f>INDEX('Vessel Valuations'!F$34:F$50,MATCH($E168,'Vessel Valuations'!$C$34:$C$50,0))</f>
        <v>2.6138306138306249E-4</v>
      </c>
      <c r="Q168" s="4">
        <f>INDEX('Vessel Valuations'!G$34:G$50,MATCH($E168,'Vessel Valuations'!$C$34:$C$50,0))</f>
        <v>3.1039627039626976E-2</v>
      </c>
      <c r="R168" s="4">
        <f>INDEX('Vessel Valuations'!H$34:H$50,MATCH($E168,'Vessel Valuations'!$C$34:$C$50,0))</f>
        <v>-3.7243900543900543</v>
      </c>
      <c r="S168" s="4">
        <f>INDEX('Vessel Valuations'!I$34:I$50,MATCH($E168,'Vessel Valuations'!$C$34:$C$50,0))</f>
        <v>86.765034965034999</v>
      </c>
      <c r="U168" s="202">
        <v>52813</v>
      </c>
      <c r="V168" s="185">
        <f>((INDEX('FFA &amp; Spot Rates'!F$23:F$43,MATCH(Hafnia!$E168,'FFA &amp; Spot Rates'!$C$23:$C$43,0))+$H168)*(1-INDEX(V$149:V$152,MATCH(Hafnia!$E168,$D$149:$D$152,0)))+INDEX(V$149:V$152,MATCH(Hafnia!$E168,$D$149:$D$152,0))*INDEX(V$154:V$157,MATCH(Hafnia!$E168,$D$154:$D$157,0)))*$N168</f>
        <v>21081.842397260276</v>
      </c>
      <c r="W168" s="185">
        <f>((INDEX('FFA &amp; Spot Rates'!G$23:G$43,MATCH(Hafnia!$E168,'FFA &amp; Spot Rates'!$C$23:$C$43,0))+$H168)*(1-INDEX(W$149:W$152,MATCH(Hafnia!$E168,$D$149:$D$152,0)))+INDEX(W$149:W$152,MATCH(Hafnia!$E168,$D$149:$D$152,0))*INDEX(W$154:W$157,MATCH(Hafnia!$E168,$D$154:$D$157,0)))*$N168</f>
        <v>23233.449315068494</v>
      </c>
      <c r="X168" s="185">
        <f>((INDEX('FFA &amp; Spot Rates'!H$23:H$43,MATCH(Hafnia!$E168,'FFA &amp; Spot Rates'!$C$23:$C$43,0))+$H168)*(1-INDEX(X$149:X$152,MATCH(Hafnia!$E168,$D$149:$D$152,0)))+INDEX(X$149:X$152,MATCH(Hafnia!$E168,$D$149:$D$152,0))*INDEX(X$154:X$157,MATCH(Hafnia!$E168,$D$154:$D$157,0)))*$N168</f>
        <v>33436.949315068494</v>
      </c>
      <c r="Y168" s="185">
        <f t="shared" si="40"/>
        <v>32641.310256849312</v>
      </c>
      <c r="Z168" s="185"/>
      <c r="AA168" s="185"/>
      <c r="AB168" s="185"/>
      <c r="AC168" s="185"/>
      <c r="AD168" s="185"/>
      <c r="AI168" s="21"/>
      <c r="AJ168" s="21"/>
    </row>
    <row r="169" spans="3:36" s="20" customFormat="1" outlineLevel="1" x14ac:dyDescent="0.2">
      <c r="C169" s="157" t="s">
        <v>880</v>
      </c>
      <c r="D169" s="157" t="s">
        <v>17</v>
      </c>
      <c r="E169" s="157" t="s">
        <v>17</v>
      </c>
      <c r="F169" s="158" t="s">
        <v>321</v>
      </c>
      <c r="G169" s="118">
        <v>1</v>
      </c>
      <c r="H169" s="152">
        <f>INDEX(Premiums!$G$27:$G$30,MATCH(Hafnia!E169,Premiums!$E$27:$E$30,0))*G169</f>
        <v>4027.898630136986</v>
      </c>
      <c r="I169" s="186">
        <v>89999</v>
      </c>
      <c r="J169" s="159">
        <v>2019</v>
      </c>
      <c r="K169" s="63">
        <v>2024</v>
      </c>
      <c r="L169" s="56">
        <f t="shared" si="39"/>
        <v>5</v>
      </c>
      <c r="M169" s="1">
        <f t="shared" si="41"/>
        <v>68.951748251748285</v>
      </c>
      <c r="N169" s="184">
        <v>1</v>
      </c>
      <c r="O169" s="1"/>
      <c r="P169" s="4">
        <f>INDEX('Vessel Valuations'!F$34:F$50,MATCH($E169,'Vessel Valuations'!$C$34:$C$50,0))</f>
        <v>2.6138306138306249E-4</v>
      </c>
      <c r="Q169" s="4">
        <f>INDEX('Vessel Valuations'!G$34:G$50,MATCH($E169,'Vessel Valuations'!$C$34:$C$50,0))</f>
        <v>3.1039627039626976E-2</v>
      </c>
      <c r="R169" s="4">
        <f>INDEX('Vessel Valuations'!H$34:H$50,MATCH($E169,'Vessel Valuations'!$C$34:$C$50,0))</f>
        <v>-3.7243900543900543</v>
      </c>
      <c r="S169" s="4">
        <f>INDEX('Vessel Valuations'!I$34:I$50,MATCH($E169,'Vessel Valuations'!$C$34:$C$50,0))</f>
        <v>86.765034965034999</v>
      </c>
      <c r="U169" s="202">
        <v>52813</v>
      </c>
      <c r="V169" s="185">
        <f>((INDEX('FFA &amp; Spot Rates'!F$23:F$43,MATCH(Hafnia!$E169,'FFA &amp; Spot Rates'!$C$23:$C$43,0))+$H169)*(1-INDEX(V$149:V$152,MATCH(Hafnia!$E169,$D$149:$D$152,0)))+INDEX(V$149:V$152,MATCH(Hafnia!$E169,$D$149:$D$152,0))*INDEX(V$154:V$157,MATCH(Hafnia!$E169,$D$154:$D$157,0)))*$N169</f>
        <v>42163.684794520552</v>
      </c>
      <c r="W169" s="185">
        <f>((INDEX('FFA &amp; Spot Rates'!G$23:G$43,MATCH(Hafnia!$E169,'FFA &amp; Spot Rates'!$C$23:$C$43,0))+$H169)*(1-INDEX(W$149:W$152,MATCH(Hafnia!$E169,$D$149:$D$152,0)))+INDEX(W$149:W$152,MATCH(Hafnia!$E169,$D$149:$D$152,0))*INDEX(W$154:W$157,MATCH(Hafnia!$E169,$D$154:$D$157,0)))*$N169</f>
        <v>46466.898630136988</v>
      </c>
      <c r="X169" s="185">
        <f>((INDEX('FFA &amp; Spot Rates'!H$23:H$43,MATCH(Hafnia!$E169,'FFA &amp; Spot Rates'!$C$23:$C$43,0))+$H169)*(1-INDEX(X$149:X$152,MATCH(Hafnia!$E169,$D$149:$D$152,0)))+INDEX(X$149:X$152,MATCH(Hafnia!$E169,$D$149:$D$152,0))*INDEX(X$154:X$157,MATCH(Hafnia!$E169,$D$154:$D$157,0)))*$N169</f>
        <v>66873.898630136988</v>
      </c>
      <c r="Y169" s="185">
        <f t="shared" si="40"/>
        <v>52079.370513698625</v>
      </c>
      <c r="Z169" s="185"/>
      <c r="AA169" s="185"/>
      <c r="AB169" s="185"/>
      <c r="AC169" s="185"/>
      <c r="AD169" s="185"/>
      <c r="AI169" s="21"/>
      <c r="AJ169" s="21"/>
    </row>
    <row r="170" spans="3:36" s="20" customFormat="1" outlineLevel="1" x14ac:dyDescent="0.2">
      <c r="C170" s="157" t="s">
        <v>881</v>
      </c>
      <c r="D170" s="157" t="s">
        <v>14</v>
      </c>
      <c r="E170" s="157" t="s">
        <v>14</v>
      </c>
      <c r="F170" s="158" t="s">
        <v>321</v>
      </c>
      <c r="G170" s="118">
        <v>0</v>
      </c>
      <c r="H170" s="152">
        <f>INDEX(Premiums!$G$27:$G$30,MATCH(Hafnia!E170,Premiums!$E$27:$E$30,0))*G170</f>
        <v>0</v>
      </c>
      <c r="I170" s="186">
        <v>74999</v>
      </c>
      <c r="J170" s="159">
        <v>2008</v>
      </c>
      <c r="K170" s="63">
        <v>2024</v>
      </c>
      <c r="L170" s="56">
        <f t="shared" si="39"/>
        <v>16</v>
      </c>
      <c r="M170" s="1">
        <f t="shared" si="41"/>
        <v>26.411442424242423</v>
      </c>
      <c r="N170" s="184">
        <v>1</v>
      </c>
      <c r="O170" s="1"/>
      <c r="P170" s="4">
        <f>INDEX('Vessel Valuations'!F$34:F$50,MATCH($E170,'Vessel Valuations'!$C$34:$C$50,0))</f>
        <v>1.2463092463092584E-4</v>
      </c>
      <c r="Q170" s="4">
        <f>INDEX('Vessel Valuations'!G$34:G$50,MATCH($E170,'Vessel Valuations'!$C$34:$C$50,0))</f>
        <v>2.8032634032633983E-2</v>
      </c>
      <c r="R170" s="4">
        <f>INDEX('Vessel Valuations'!H$34:H$50,MATCH($E170,'Vessel Valuations'!$C$34:$C$50,0))</f>
        <v>-2.83950271950272</v>
      </c>
      <c r="S170" s="4">
        <f>INDEX('Vessel Valuations'!I$34:I$50,MATCH($E170,'Vessel Valuations'!$C$34:$C$50,0))</f>
        <v>64.156643356643372</v>
      </c>
      <c r="U170" s="202">
        <v>46749</v>
      </c>
      <c r="V170" s="185">
        <f>((INDEX('FFA &amp; Spot Rates'!F$23:F$43,MATCH(Hafnia!$E170,'FFA &amp; Spot Rates'!$C$23:$C$43,0))+$H170)*(1-INDEX(V$149:V$152,MATCH(Hafnia!$E170,$D$149:$D$152,0)))+INDEX(V$149:V$152,MATCH(Hafnia!$E170,$D$149:$D$152,0))*INDEX(V$154:V$157,MATCH(Hafnia!$E170,$D$154:$D$157,0)))*$N170</f>
        <v>43057.96</v>
      </c>
      <c r="W170" s="185">
        <f>((INDEX('FFA &amp; Spot Rates'!G$23:G$43,MATCH(Hafnia!$E170,'FFA &amp; Spot Rates'!$C$23:$C$43,0))+$H170)*(1-INDEX(W$149:W$152,MATCH(Hafnia!$E170,$D$149:$D$152,0)))+INDEX(W$149:W$152,MATCH(Hafnia!$E170,$D$149:$D$152,0))*INDEX(W$154:W$157,MATCH(Hafnia!$E170,$D$154:$D$157,0)))*$N170</f>
        <v>33884</v>
      </c>
      <c r="X170" s="185">
        <f>((INDEX('FFA &amp; Spot Rates'!H$23:H$43,MATCH(Hafnia!$E170,'FFA &amp; Spot Rates'!$C$23:$C$43,0))+$H170)*(1-INDEX(X$149:X$152,MATCH(Hafnia!$E170,$D$149:$D$152,0)))+INDEX(X$149:X$152,MATCH(Hafnia!$E170,$D$149:$D$152,0))*INDEX(X$154:X$157,MATCH(Hafnia!$E170,$D$154:$D$157,0)))*$N170</f>
        <v>49578</v>
      </c>
      <c r="Y170" s="185">
        <f t="shared" si="40"/>
        <v>43317.24</v>
      </c>
      <c r="Z170" s="185"/>
      <c r="AA170" s="185"/>
      <c r="AB170" s="185"/>
      <c r="AC170" s="185"/>
      <c r="AD170" s="185"/>
      <c r="AI170" s="21"/>
      <c r="AJ170" s="21"/>
    </row>
    <row r="171" spans="3:36" s="20" customFormat="1" outlineLevel="1" x14ac:dyDescent="0.2">
      <c r="C171" s="157" t="s">
        <v>882</v>
      </c>
      <c r="D171" s="157" t="s">
        <v>14</v>
      </c>
      <c r="E171" s="157" t="s">
        <v>14</v>
      </c>
      <c r="F171" s="158" t="s">
        <v>321</v>
      </c>
      <c r="G171" s="118">
        <v>0</v>
      </c>
      <c r="H171" s="152">
        <f>INDEX(Premiums!$G$27:$G$30,MATCH(Hafnia!E171,Premiums!$E$27:$E$30,0))*G171</f>
        <v>0</v>
      </c>
      <c r="I171" s="186">
        <v>74999</v>
      </c>
      <c r="J171" s="159">
        <v>2013</v>
      </c>
      <c r="K171" s="63">
        <v>2024</v>
      </c>
      <c r="L171" s="56">
        <f t="shared" si="39"/>
        <v>11</v>
      </c>
      <c r="M171" s="1">
        <f t="shared" si="41"/>
        <v>36.479945920745919</v>
      </c>
      <c r="N171" s="184">
        <v>1</v>
      </c>
      <c r="O171" s="1"/>
      <c r="P171" s="4">
        <f>INDEX('Vessel Valuations'!F$34:F$50,MATCH($E171,'Vessel Valuations'!$C$34:$C$50,0))</f>
        <v>1.2463092463092584E-4</v>
      </c>
      <c r="Q171" s="4">
        <f>INDEX('Vessel Valuations'!G$34:G$50,MATCH($E171,'Vessel Valuations'!$C$34:$C$50,0))</f>
        <v>2.8032634032633983E-2</v>
      </c>
      <c r="R171" s="4">
        <f>INDEX('Vessel Valuations'!H$34:H$50,MATCH($E171,'Vessel Valuations'!$C$34:$C$50,0))</f>
        <v>-2.83950271950272</v>
      </c>
      <c r="S171" s="4">
        <f>INDEX('Vessel Valuations'!I$34:I$50,MATCH($E171,'Vessel Valuations'!$C$34:$C$50,0))</f>
        <v>64.156643356643372</v>
      </c>
      <c r="U171" s="202">
        <v>46749</v>
      </c>
      <c r="V171" s="185">
        <f>((INDEX('FFA &amp; Spot Rates'!F$23:F$43,MATCH(Hafnia!$E171,'FFA &amp; Spot Rates'!$C$23:$C$43,0))+$H171)*(1-INDEX(V$149:V$152,MATCH(Hafnia!$E171,$D$149:$D$152,0)))+INDEX(V$149:V$152,MATCH(Hafnia!$E171,$D$149:$D$152,0))*INDEX(V$154:V$157,MATCH(Hafnia!$E171,$D$154:$D$157,0)))*$N171</f>
        <v>43057.96</v>
      </c>
      <c r="W171" s="185">
        <f>((INDEX('FFA &amp; Spot Rates'!G$23:G$43,MATCH(Hafnia!$E171,'FFA &amp; Spot Rates'!$C$23:$C$43,0))+$H171)*(1-INDEX(W$149:W$152,MATCH(Hafnia!$E171,$D$149:$D$152,0)))+INDEX(W$149:W$152,MATCH(Hafnia!$E171,$D$149:$D$152,0))*INDEX(W$154:W$157,MATCH(Hafnia!$E171,$D$154:$D$157,0)))*$N171</f>
        <v>33884</v>
      </c>
      <c r="X171" s="185">
        <f>((INDEX('FFA &amp; Spot Rates'!H$23:H$43,MATCH(Hafnia!$E171,'FFA &amp; Spot Rates'!$C$23:$C$43,0))+$H171)*(1-INDEX(X$149:X$152,MATCH(Hafnia!$E171,$D$149:$D$152,0)))+INDEX(X$149:X$152,MATCH(Hafnia!$E171,$D$149:$D$152,0))*INDEX(X$154:X$157,MATCH(Hafnia!$E171,$D$154:$D$157,0)))*$N171</f>
        <v>49578</v>
      </c>
      <c r="Y171" s="185">
        <f t="shared" si="40"/>
        <v>43317.24</v>
      </c>
      <c r="Z171" s="185"/>
      <c r="AA171" s="185"/>
      <c r="AB171" s="185"/>
      <c r="AC171" s="185"/>
      <c r="AD171" s="185"/>
      <c r="AI171" s="21"/>
      <c r="AJ171" s="21"/>
    </row>
    <row r="172" spans="3:36" s="20" customFormat="1" outlineLevel="1" x14ac:dyDescent="0.2">
      <c r="C172" s="157" t="s">
        <v>883</v>
      </c>
      <c r="D172" s="157" t="s">
        <v>14</v>
      </c>
      <c r="E172" s="157" t="s">
        <v>14</v>
      </c>
      <c r="F172" s="158" t="s">
        <v>321</v>
      </c>
      <c r="G172" s="118">
        <v>1</v>
      </c>
      <c r="H172" s="152">
        <f>INDEX(Premiums!$G$27:$G$30,MATCH(Hafnia!E172,Premiums!$E$27:$E$30,0))*G172</f>
        <v>2276.6383561643834</v>
      </c>
      <c r="I172" s="186">
        <v>74999</v>
      </c>
      <c r="J172" s="159">
        <v>2019</v>
      </c>
      <c r="K172" s="63">
        <v>2024</v>
      </c>
      <c r="L172" s="56">
        <f t="shared" si="39"/>
        <v>5</v>
      </c>
      <c r="M172" s="1">
        <f t="shared" si="41"/>
        <v>25.337762237762242</v>
      </c>
      <c r="N172" s="184">
        <v>0.5</v>
      </c>
      <c r="O172" s="1"/>
      <c r="P172" s="4">
        <f>INDEX('Vessel Valuations'!F$34:F$50,MATCH($E172,'Vessel Valuations'!$C$34:$C$50,0))</f>
        <v>1.2463092463092584E-4</v>
      </c>
      <c r="Q172" s="4">
        <f>INDEX('Vessel Valuations'!G$34:G$50,MATCH($E172,'Vessel Valuations'!$C$34:$C$50,0))</f>
        <v>2.8032634032633983E-2</v>
      </c>
      <c r="R172" s="4">
        <f>INDEX('Vessel Valuations'!H$34:H$50,MATCH($E172,'Vessel Valuations'!$C$34:$C$50,0))</f>
        <v>-2.83950271950272</v>
      </c>
      <c r="S172" s="4">
        <f>INDEX('Vessel Valuations'!I$34:I$50,MATCH($E172,'Vessel Valuations'!$C$34:$C$50,0))</f>
        <v>64.156643356643372</v>
      </c>
      <c r="U172" s="202">
        <v>46749</v>
      </c>
      <c r="V172" s="185">
        <f>((INDEX('FFA &amp; Spot Rates'!F$23:F$43,MATCH(Hafnia!$E172,'FFA &amp; Spot Rates'!$C$23:$C$43,0))+$H172)*(1-INDEX(V$149:V$152,MATCH(Hafnia!$E172,$D$149:$D$152,0)))+INDEX(V$149:V$152,MATCH(Hafnia!$E172,$D$149:$D$152,0))*INDEX(V$154:V$157,MATCH(Hafnia!$E172,$D$154:$D$157,0)))*$N172</f>
        <v>22052.606821917809</v>
      </c>
      <c r="W172" s="185">
        <f>((INDEX('FFA &amp; Spot Rates'!G$23:G$43,MATCH(Hafnia!$E172,'FFA &amp; Spot Rates'!$C$23:$C$43,0))+$H172)*(1-INDEX(W$149:W$152,MATCH(Hafnia!$E172,$D$149:$D$152,0)))+INDEX(W$149:W$152,MATCH(Hafnia!$E172,$D$149:$D$152,0))*INDEX(W$154:W$157,MATCH(Hafnia!$E172,$D$154:$D$157,0)))*$N172</f>
        <v>18080.319178082191</v>
      </c>
      <c r="X172" s="185">
        <f>((INDEX('FFA &amp; Spot Rates'!H$23:H$43,MATCH(Hafnia!$E172,'FFA &amp; Spot Rates'!$C$23:$C$43,0))+$H172)*(1-INDEX(X$149:X$152,MATCH(Hafnia!$E172,$D$149:$D$152,0)))+INDEX(X$149:X$152,MATCH(Hafnia!$E172,$D$149:$D$152,0))*INDEX(X$154:X$157,MATCH(Hafnia!$E172,$D$154:$D$157,0)))*$N172</f>
        <v>25927.319178082191</v>
      </c>
      <c r="Y172" s="185">
        <f t="shared" si="40"/>
        <v>28202.31129452055</v>
      </c>
      <c r="Z172" s="185"/>
      <c r="AA172" s="185"/>
      <c r="AB172" s="185"/>
      <c r="AC172" s="185"/>
      <c r="AD172" s="185"/>
      <c r="AI172" s="21"/>
      <c r="AJ172" s="21"/>
    </row>
    <row r="173" spans="3:36" s="20" customFormat="1" outlineLevel="1" x14ac:dyDescent="0.2">
      <c r="C173" s="157" t="s">
        <v>884</v>
      </c>
      <c r="D173" s="157" t="s">
        <v>14</v>
      </c>
      <c r="E173" s="157" t="s">
        <v>14</v>
      </c>
      <c r="F173" s="158" t="s">
        <v>321</v>
      </c>
      <c r="G173" s="118">
        <v>1</v>
      </c>
      <c r="H173" s="152">
        <f>INDEX(Premiums!$G$27:$G$30,MATCH(Hafnia!E173,Premiums!$E$27:$E$30,0))*G173</f>
        <v>2276.6383561643834</v>
      </c>
      <c r="I173" s="186">
        <v>74999</v>
      </c>
      <c r="J173" s="159">
        <v>2019</v>
      </c>
      <c r="K173" s="63">
        <v>2024</v>
      </c>
      <c r="L173" s="56">
        <f t="shared" si="39"/>
        <v>5</v>
      </c>
      <c r="M173" s="1">
        <f t="shared" si="41"/>
        <v>25.337762237762242</v>
      </c>
      <c r="N173" s="184">
        <v>0.5</v>
      </c>
      <c r="O173" s="1"/>
      <c r="P173" s="4">
        <f>INDEX('Vessel Valuations'!F$34:F$50,MATCH($E173,'Vessel Valuations'!$C$34:$C$50,0))</f>
        <v>1.2463092463092584E-4</v>
      </c>
      <c r="Q173" s="4">
        <f>INDEX('Vessel Valuations'!G$34:G$50,MATCH($E173,'Vessel Valuations'!$C$34:$C$50,0))</f>
        <v>2.8032634032633983E-2</v>
      </c>
      <c r="R173" s="4">
        <f>INDEX('Vessel Valuations'!H$34:H$50,MATCH($E173,'Vessel Valuations'!$C$34:$C$50,0))</f>
        <v>-2.83950271950272</v>
      </c>
      <c r="S173" s="4">
        <f>INDEX('Vessel Valuations'!I$34:I$50,MATCH($E173,'Vessel Valuations'!$C$34:$C$50,0))</f>
        <v>64.156643356643372</v>
      </c>
      <c r="U173" s="202">
        <v>46749</v>
      </c>
      <c r="V173" s="185">
        <f>((INDEX('FFA &amp; Spot Rates'!F$23:F$43,MATCH(Hafnia!$E173,'FFA &amp; Spot Rates'!$C$23:$C$43,0))+$H173)*(1-INDEX(V$149:V$152,MATCH(Hafnia!$E173,$D$149:$D$152,0)))+INDEX(V$149:V$152,MATCH(Hafnia!$E173,$D$149:$D$152,0))*INDEX(V$154:V$157,MATCH(Hafnia!$E173,$D$154:$D$157,0)))*$N173</f>
        <v>22052.606821917809</v>
      </c>
      <c r="W173" s="185">
        <f>((INDEX('FFA &amp; Spot Rates'!G$23:G$43,MATCH(Hafnia!$E173,'FFA &amp; Spot Rates'!$C$23:$C$43,0))+$H173)*(1-INDEX(W$149:W$152,MATCH(Hafnia!$E173,$D$149:$D$152,0)))+INDEX(W$149:W$152,MATCH(Hafnia!$E173,$D$149:$D$152,0))*INDEX(W$154:W$157,MATCH(Hafnia!$E173,$D$154:$D$157,0)))*$N173</f>
        <v>18080.319178082191</v>
      </c>
      <c r="X173" s="185">
        <f>((INDEX('FFA &amp; Spot Rates'!H$23:H$43,MATCH(Hafnia!$E173,'FFA &amp; Spot Rates'!$C$23:$C$43,0))+$H173)*(1-INDEX(X$149:X$152,MATCH(Hafnia!$E173,$D$149:$D$152,0)))+INDEX(X$149:X$152,MATCH(Hafnia!$E173,$D$149:$D$152,0))*INDEX(X$154:X$157,MATCH(Hafnia!$E173,$D$154:$D$157,0)))*$N173</f>
        <v>25927.319178082191</v>
      </c>
      <c r="Y173" s="185">
        <f t="shared" si="40"/>
        <v>28202.31129452055</v>
      </c>
      <c r="Z173" s="185"/>
      <c r="AA173" s="185"/>
      <c r="AB173" s="185"/>
      <c r="AC173" s="185"/>
      <c r="AD173" s="185"/>
      <c r="AI173" s="21"/>
      <c r="AJ173" s="21"/>
    </row>
    <row r="174" spans="3:36" s="20" customFormat="1" outlineLevel="1" x14ac:dyDescent="0.2">
      <c r="C174" s="157" t="s">
        <v>885</v>
      </c>
      <c r="D174" s="157" t="s">
        <v>14</v>
      </c>
      <c r="E174" s="157" t="s">
        <v>14</v>
      </c>
      <c r="F174" s="158" t="s">
        <v>321</v>
      </c>
      <c r="G174" s="118">
        <v>1</v>
      </c>
      <c r="H174" s="152">
        <f>INDEX(Premiums!$G$27:$G$30,MATCH(Hafnia!E174,Premiums!$E$27:$E$30,0))*G174</f>
        <v>2276.6383561643834</v>
      </c>
      <c r="I174" s="186">
        <v>74999</v>
      </c>
      <c r="J174" s="159">
        <v>2019</v>
      </c>
      <c r="K174" s="63">
        <v>2024</v>
      </c>
      <c r="L174" s="56">
        <f t="shared" si="39"/>
        <v>5</v>
      </c>
      <c r="M174" s="1">
        <f t="shared" si="41"/>
        <v>25.337762237762242</v>
      </c>
      <c r="N174" s="184">
        <v>0.5</v>
      </c>
      <c r="O174" s="1"/>
      <c r="P174" s="4">
        <f>INDEX('Vessel Valuations'!F$34:F$50,MATCH($E174,'Vessel Valuations'!$C$34:$C$50,0))</f>
        <v>1.2463092463092584E-4</v>
      </c>
      <c r="Q174" s="4">
        <f>INDEX('Vessel Valuations'!G$34:G$50,MATCH($E174,'Vessel Valuations'!$C$34:$C$50,0))</f>
        <v>2.8032634032633983E-2</v>
      </c>
      <c r="R174" s="4">
        <f>INDEX('Vessel Valuations'!H$34:H$50,MATCH($E174,'Vessel Valuations'!$C$34:$C$50,0))</f>
        <v>-2.83950271950272</v>
      </c>
      <c r="S174" s="4">
        <f>INDEX('Vessel Valuations'!I$34:I$50,MATCH($E174,'Vessel Valuations'!$C$34:$C$50,0))</f>
        <v>64.156643356643372</v>
      </c>
      <c r="U174" s="202">
        <v>46749</v>
      </c>
      <c r="V174" s="185">
        <f>((INDEX('FFA &amp; Spot Rates'!F$23:F$43,MATCH(Hafnia!$E174,'FFA &amp; Spot Rates'!$C$23:$C$43,0))+$H174)*(1-INDEX(V$149:V$152,MATCH(Hafnia!$E174,$D$149:$D$152,0)))+INDEX(V$149:V$152,MATCH(Hafnia!$E174,$D$149:$D$152,0))*INDEX(V$154:V$157,MATCH(Hafnia!$E174,$D$154:$D$157,0)))*$N174</f>
        <v>22052.606821917809</v>
      </c>
      <c r="W174" s="185">
        <f>((INDEX('FFA &amp; Spot Rates'!G$23:G$43,MATCH(Hafnia!$E174,'FFA &amp; Spot Rates'!$C$23:$C$43,0))+$H174)*(1-INDEX(W$149:W$152,MATCH(Hafnia!$E174,$D$149:$D$152,0)))+INDEX(W$149:W$152,MATCH(Hafnia!$E174,$D$149:$D$152,0))*INDEX(W$154:W$157,MATCH(Hafnia!$E174,$D$154:$D$157,0)))*$N174</f>
        <v>18080.319178082191</v>
      </c>
      <c r="X174" s="185">
        <f>((INDEX('FFA &amp; Spot Rates'!H$23:H$43,MATCH(Hafnia!$E174,'FFA &amp; Spot Rates'!$C$23:$C$43,0))+$H174)*(1-INDEX(X$149:X$152,MATCH(Hafnia!$E174,$D$149:$D$152,0)))+INDEX(X$149:X$152,MATCH(Hafnia!$E174,$D$149:$D$152,0))*INDEX(X$154:X$157,MATCH(Hafnia!$E174,$D$154:$D$157,0)))*$N174</f>
        <v>25927.319178082191</v>
      </c>
      <c r="Y174" s="185">
        <f t="shared" si="40"/>
        <v>28202.31129452055</v>
      </c>
      <c r="Z174" s="185"/>
      <c r="AA174" s="185"/>
      <c r="AB174" s="185"/>
      <c r="AC174" s="185"/>
      <c r="AD174" s="185"/>
      <c r="AI174" s="21"/>
      <c r="AJ174" s="21"/>
    </row>
    <row r="175" spans="3:36" s="20" customFormat="1" outlineLevel="1" x14ac:dyDescent="0.2">
      <c r="C175" s="157" t="s">
        <v>886</v>
      </c>
      <c r="D175" s="157" t="s">
        <v>14</v>
      </c>
      <c r="E175" s="157" t="s">
        <v>14</v>
      </c>
      <c r="F175" s="158" t="s">
        <v>321</v>
      </c>
      <c r="G175" s="118">
        <v>1</v>
      </c>
      <c r="H175" s="152">
        <f>INDEX(Premiums!$G$27:$G$30,MATCH(Hafnia!E175,Premiums!$E$27:$E$30,0))*G175</f>
        <v>2276.6383561643834</v>
      </c>
      <c r="I175" s="186">
        <v>74999</v>
      </c>
      <c r="J175" s="159">
        <v>2019</v>
      </c>
      <c r="K175" s="63">
        <v>2024</v>
      </c>
      <c r="L175" s="56">
        <f t="shared" si="39"/>
        <v>5</v>
      </c>
      <c r="M175" s="1">
        <f t="shared" si="41"/>
        <v>25.337762237762242</v>
      </c>
      <c r="N175" s="184">
        <v>0.5</v>
      </c>
      <c r="O175" s="1"/>
      <c r="P175" s="4">
        <f>INDEX('Vessel Valuations'!F$34:F$50,MATCH($E175,'Vessel Valuations'!$C$34:$C$50,0))</f>
        <v>1.2463092463092584E-4</v>
      </c>
      <c r="Q175" s="4">
        <f>INDEX('Vessel Valuations'!G$34:G$50,MATCH($E175,'Vessel Valuations'!$C$34:$C$50,0))</f>
        <v>2.8032634032633983E-2</v>
      </c>
      <c r="R175" s="4">
        <f>INDEX('Vessel Valuations'!H$34:H$50,MATCH($E175,'Vessel Valuations'!$C$34:$C$50,0))</f>
        <v>-2.83950271950272</v>
      </c>
      <c r="S175" s="4">
        <f>INDEX('Vessel Valuations'!I$34:I$50,MATCH($E175,'Vessel Valuations'!$C$34:$C$50,0))</f>
        <v>64.156643356643372</v>
      </c>
      <c r="U175" s="202">
        <v>46749</v>
      </c>
      <c r="V175" s="185">
        <f>((INDEX('FFA &amp; Spot Rates'!F$23:F$43,MATCH(Hafnia!$E175,'FFA &amp; Spot Rates'!$C$23:$C$43,0))+$H175)*(1-INDEX(V$149:V$152,MATCH(Hafnia!$E175,$D$149:$D$152,0)))+INDEX(V$149:V$152,MATCH(Hafnia!$E175,$D$149:$D$152,0))*INDEX(V$154:V$157,MATCH(Hafnia!$E175,$D$154:$D$157,0)))*$N175</f>
        <v>22052.606821917809</v>
      </c>
      <c r="W175" s="185">
        <f>((INDEX('FFA &amp; Spot Rates'!G$23:G$43,MATCH(Hafnia!$E175,'FFA &amp; Spot Rates'!$C$23:$C$43,0))+$H175)*(1-INDEX(W$149:W$152,MATCH(Hafnia!$E175,$D$149:$D$152,0)))+INDEX(W$149:W$152,MATCH(Hafnia!$E175,$D$149:$D$152,0))*INDEX(W$154:W$157,MATCH(Hafnia!$E175,$D$154:$D$157,0)))*$N175</f>
        <v>18080.319178082191</v>
      </c>
      <c r="X175" s="185">
        <f>((INDEX('FFA &amp; Spot Rates'!H$23:H$43,MATCH(Hafnia!$E175,'FFA &amp; Spot Rates'!$C$23:$C$43,0))+$H175)*(1-INDEX(X$149:X$152,MATCH(Hafnia!$E175,$D$149:$D$152,0)))+INDEX(X$149:X$152,MATCH(Hafnia!$E175,$D$149:$D$152,0))*INDEX(X$154:X$157,MATCH(Hafnia!$E175,$D$154:$D$157,0)))*$N175</f>
        <v>25927.319178082191</v>
      </c>
      <c r="Y175" s="185">
        <f t="shared" si="40"/>
        <v>28202.31129452055</v>
      </c>
      <c r="Z175" s="185"/>
      <c r="AA175" s="185"/>
      <c r="AB175" s="185"/>
      <c r="AC175" s="185"/>
      <c r="AD175" s="185"/>
      <c r="AI175" s="21"/>
      <c r="AJ175" s="21"/>
    </row>
    <row r="176" spans="3:36" s="20" customFormat="1" outlineLevel="1" x14ac:dyDescent="0.2">
      <c r="C176" s="157" t="s">
        <v>887</v>
      </c>
      <c r="D176" s="157" t="s">
        <v>14</v>
      </c>
      <c r="E176" s="157" t="s">
        <v>14</v>
      </c>
      <c r="F176" s="158" t="s">
        <v>321</v>
      </c>
      <c r="G176" s="118">
        <v>1</v>
      </c>
      <c r="H176" s="152">
        <f>INDEX(Premiums!$G$27:$G$30,MATCH(Hafnia!E176,Premiums!$E$27:$E$30,0))*G176</f>
        <v>2276.6383561643834</v>
      </c>
      <c r="I176" s="186">
        <v>74999</v>
      </c>
      <c r="J176" s="159">
        <v>2020</v>
      </c>
      <c r="K176" s="63">
        <v>2024</v>
      </c>
      <c r="L176" s="56">
        <f t="shared" si="39"/>
        <v>4</v>
      </c>
      <c r="M176" s="1">
        <f t="shared" si="41"/>
        <v>26.627565501165506</v>
      </c>
      <c r="N176" s="184">
        <v>0.5</v>
      </c>
      <c r="O176" s="1"/>
      <c r="P176" s="4">
        <f>INDEX('Vessel Valuations'!F$34:F$50,MATCH($E176,'Vessel Valuations'!$C$34:$C$50,0))</f>
        <v>1.2463092463092584E-4</v>
      </c>
      <c r="Q176" s="4">
        <f>INDEX('Vessel Valuations'!G$34:G$50,MATCH($E176,'Vessel Valuations'!$C$34:$C$50,0))</f>
        <v>2.8032634032633983E-2</v>
      </c>
      <c r="R176" s="4">
        <f>INDEX('Vessel Valuations'!H$34:H$50,MATCH($E176,'Vessel Valuations'!$C$34:$C$50,0))</f>
        <v>-2.83950271950272</v>
      </c>
      <c r="S176" s="4">
        <f>INDEX('Vessel Valuations'!I$34:I$50,MATCH($E176,'Vessel Valuations'!$C$34:$C$50,0))</f>
        <v>64.156643356643372</v>
      </c>
      <c r="U176" s="202">
        <v>46749</v>
      </c>
      <c r="V176" s="185">
        <f>((INDEX('FFA &amp; Spot Rates'!F$23:F$43,MATCH(Hafnia!$E176,'FFA &amp; Spot Rates'!$C$23:$C$43,0))+$H176)*(1-INDEX(V$149:V$152,MATCH(Hafnia!$E176,$D$149:$D$152,0)))+INDEX(V$149:V$152,MATCH(Hafnia!$E176,$D$149:$D$152,0))*INDEX(V$154:V$157,MATCH(Hafnia!$E176,$D$154:$D$157,0)))*$N176</f>
        <v>22052.606821917809</v>
      </c>
      <c r="W176" s="185">
        <f>((INDEX('FFA &amp; Spot Rates'!G$23:G$43,MATCH(Hafnia!$E176,'FFA &amp; Spot Rates'!$C$23:$C$43,0))+$H176)*(1-INDEX(W$149:W$152,MATCH(Hafnia!$E176,$D$149:$D$152,0)))+INDEX(W$149:W$152,MATCH(Hafnia!$E176,$D$149:$D$152,0))*INDEX(W$154:W$157,MATCH(Hafnia!$E176,$D$154:$D$157,0)))*$N176</f>
        <v>18080.319178082191</v>
      </c>
      <c r="X176" s="185">
        <f>((INDEX('FFA &amp; Spot Rates'!H$23:H$43,MATCH(Hafnia!$E176,'FFA &amp; Spot Rates'!$C$23:$C$43,0))+$H176)*(1-INDEX(X$149:X$152,MATCH(Hafnia!$E176,$D$149:$D$152,0)))+INDEX(X$149:X$152,MATCH(Hafnia!$E176,$D$149:$D$152,0))*INDEX(X$154:X$157,MATCH(Hafnia!$E176,$D$154:$D$157,0)))*$N176</f>
        <v>25927.319178082191</v>
      </c>
      <c r="Y176" s="185">
        <f t="shared" si="40"/>
        <v>28202.31129452055</v>
      </c>
      <c r="Z176" s="185"/>
      <c r="AA176" s="185"/>
      <c r="AB176" s="185"/>
      <c r="AC176" s="185"/>
      <c r="AD176" s="185"/>
      <c r="AI176" s="21"/>
      <c r="AJ176" s="21"/>
    </row>
    <row r="177" spans="3:36" s="20" customFormat="1" outlineLevel="1" x14ac:dyDescent="0.2">
      <c r="C177" s="157" t="s">
        <v>888</v>
      </c>
      <c r="D177" s="157" t="s">
        <v>14</v>
      </c>
      <c r="E177" s="157" t="s">
        <v>14</v>
      </c>
      <c r="F177" s="158" t="s">
        <v>321</v>
      </c>
      <c r="G177" s="118">
        <v>1</v>
      </c>
      <c r="H177" s="152">
        <f>INDEX(Premiums!$G$27:$G$30,MATCH(Hafnia!E177,Premiums!$E$27:$E$30,0))*G177</f>
        <v>2276.6383561643834</v>
      </c>
      <c r="I177" s="186">
        <v>74999</v>
      </c>
      <c r="J177" s="159">
        <v>2021</v>
      </c>
      <c r="K177" s="63">
        <v>2024</v>
      </c>
      <c r="L177" s="56">
        <f t="shared" si="39"/>
        <v>3</v>
      </c>
      <c r="M177" s="1">
        <f t="shared" si="41"/>
        <v>27.946896969696976</v>
      </c>
      <c r="N177" s="184">
        <v>0.5</v>
      </c>
      <c r="O177" s="1"/>
      <c r="P177" s="4">
        <f>INDEX('Vessel Valuations'!F$34:F$50,MATCH($E177,'Vessel Valuations'!$C$34:$C$50,0))</f>
        <v>1.2463092463092584E-4</v>
      </c>
      <c r="Q177" s="4">
        <f>INDEX('Vessel Valuations'!G$34:G$50,MATCH($E177,'Vessel Valuations'!$C$34:$C$50,0))</f>
        <v>2.8032634032633983E-2</v>
      </c>
      <c r="R177" s="4">
        <f>INDEX('Vessel Valuations'!H$34:H$50,MATCH($E177,'Vessel Valuations'!$C$34:$C$50,0))</f>
        <v>-2.83950271950272</v>
      </c>
      <c r="S177" s="4">
        <f>INDEX('Vessel Valuations'!I$34:I$50,MATCH($E177,'Vessel Valuations'!$C$34:$C$50,0))</f>
        <v>64.156643356643372</v>
      </c>
      <c r="U177" s="202">
        <v>46749</v>
      </c>
      <c r="V177" s="185">
        <f>((INDEX('FFA &amp; Spot Rates'!F$23:F$43,MATCH(Hafnia!$E177,'FFA &amp; Spot Rates'!$C$23:$C$43,0))+$H177)*(1-INDEX(V$149:V$152,MATCH(Hafnia!$E177,$D$149:$D$152,0)))+INDEX(V$149:V$152,MATCH(Hafnia!$E177,$D$149:$D$152,0))*INDEX(V$154:V$157,MATCH(Hafnia!$E177,$D$154:$D$157,0)))*$N177</f>
        <v>22052.606821917809</v>
      </c>
      <c r="W177" s="185">
        <f>((INDEX('FFA &amp; Spot Rates'!G$23:G$43,MATCH(Hafnia!$E177,'FFA &amp; Spot Rates'!$C$23:$C$43,0))+$H177)*(1-INDEX(W$149:W$152,MATCH(Hafnia!$E177,$D$149:$D$152,0)))+INDEX(W$149:W$152,MATCH(Hafnia!$E177,$D$149:$D$152,0))*INDEX(W$154:W$157,MATCH(Hafnia!$E177,$D$154:$D$157,0)))*$N177</f>
        <v>18080.319178082191</v>
      </c>
      <c r="X177" s="185">
        <f>((INDEX('FFA &amp; Spot Rates'!H$23:H$43,MATCH(Hafnia!$E177,'FFA &amp; Spot Rates'!$C$23:$C$43,0))+$H177)*(1-INDEX(X$149:X$152,MATCH(Hafnia!$E177,$D$149:$D$152,0)))+INDEX(X$149:X$152,MATCH(Hafnia!$E177,$D$149:$D$152,0))*INDEX(X$154:X$157,MATCH(Hafnia!$E177,$D$154:$D$157,0)))*$N177</f>
        <v>25927.319178082191</v>
      </c>
      <c r="Y177" s="185">
        <f t="shared" si="40"/>
        <v>28202.31129452055</v>
      </c>
      <c r="Z177" s="185"/>
      <c r="AA177" s="185"/>
      <c r="AB177" s="185"/>
      <c r="AC177" s="185"/>
      <c r="AD177" s="185"/>
      <c r="AI177" s="21"/>
      <c r="AJ177" s="21"/>
    </row>
    <row r="178" spans="3:36" s="20" customFormat="1" outlineLevel="1" x14ac:dyDescent="0.2">
      <c r="C178" s="157" t="s">
        <v>889</v>
      </c>
      <c r="D178" s="157" t="s">
        <v>14</v>
      </c>
      <c r="E178" s="157" t="s">
        <v>14</v>
      </c>
      <c r="F178" s="158" t="s">
        <v>321</v>
      </c>
      <c r="G178" s="118">
        <v>0</v>
      </c>
      <c r="H178" s="152">
        <f>INDEX(Premiums!$G$27:$G$30,MATCH(Hafnia!E178,Premiums!$E$27:$E$30,0))*G178</f>
        <v>0</v>
      </c>
      <c r="I178" s="186">
        <v>74998</v>
      </c>
      <c r="J178" s="159">
        <v>2008</v>
      </c>
      <c r="K178" s="63">
        <v>2024</v>
      </c>
      <c r="L178" s="56">
        <f t="shared" si="39"/>
        <v>16</v>
      </c>
      <c r="M178" s="1">
        <f t="shared" si="41"/>
        <v>26.411442424242423</v>
      </c>
      <c r="N178" s="184">
        <v>1</v>
      </c>
      <c r="O178" s="1"/>
      <c r="P178" s="4">
        <f>INDEX('Vessel Valuations'!F$34:F$50,MATCH($E178,'Vessel Valuations'!$C$34:$C$50,0))</f>
        <v>1.2463092463092584E-4</v>
      </c>
      <c r="Q178" s="4">
        <f>INDEX('Vessel Valuations'!G$34:G$50,MATCH($E178,'Vessel Valuations'!$C$34:$C$50,0))</f>
        <v>2.8032634032633983E-2</v>
      </c>
      <c r="R178" s="4">
        <f>INDEX('Vessel Valuations'!H$34:H$50,MATCH($E178,'Vessel Valuations'!$C$34:$C$50,0))</f>
        <v>-2.83950271950272</v>
      </c>
      <c r="S178" s="4">
        <f>INDEX('Vessel Valuations'!I$34:I$50,MATCH($E178,'Vessel Valuations'!$C$34:$C$50,0))</f>
        <v>64.156643356643372</v>
      </c>
      <c r="U178" s="202">
        <v>46749</v>
      </c>
      <c r="V178" s="185">
        <f>((INDEX('FFA &amp; Spot Rates'!F$23:F$43,MATCH(Hafnia!$E178,'FFA &amp; Spot Rates'!$C$23:$C$43,0))+$H178)*(1-INDEX(V$149:V$152,MATCH(Hafnia!$E178,$D$149:$D$152,0)))+INDEX(V$149:V$152,MATCH(Hafnia!$E178,$D$149:$D$152,0))*INDEX(V$154:V$157,MATCH(Hafnia!$E178,$D$154:$D$157,0)))*$N178</f>
        <v>43057.96</v>
      </c>
      <c r="W178" s="185">
        <f>((INDEX('FFA &amp; Spot Rates'!G$23:G$43,MATCH(Hafnia!$E178,'FFA &amp; Spot Rates'!$C$23:$C$43,0))+$H178)*(1-INDEX(W$149:W$152,MATCH(Hafnia!$E178,$D$149:$D$152,0)))+INDEX(W$149:W$152,MATCH(Hafnia!$E178,$D$149:$D$152,0))*INDEX(W$154:W$157,MATCH(Hafnia!$E178,$D$154:$D$157,0)))*$N178</f>
        <v>33884</v>
      </c>
      <c r="X178" s="185">
        <f>((INDEX('FFA &amp; Spot Rates'!H$23:H$43,MATCH(Hafnia!$E178,'FFA &amp; Spot Rates'!$C$23:$C$43,0))+$H178)*(1-INDEX(X$149:X$152,MATCH(Hafnia!$E178,$D$149:$D$152,0)))+INDEX(X$149:X$152,MATCH(Hafnia!$E178,$D$149:$D$152,0))*INDEX(X$154:X$157,MATCH(Hafnia!$E178,$D$154:$D$157,0)))*$N178</f>
        <v>49578</v>
      </c>
      <c r="Y178" s="185">
        <f t="shared" si="40"/>
        <v>43317.24</v>
      </c>
      <c r="Z178" s="185"/>
      <c r="AA178" s="185"/>
      <c r="AB178" s="185"/>
      <c r="AC178" s="185"/>
      <c r="AD178" s="185"/>
      <c r="AI178" s="21"/>
      <c r="AJ178" s="21"/>
    </row>
    <row r="179" spans="3:36" s="20" customFormat="1" outlineLevel="1" x14ac:dyDescent="0.2">
      <c r="C179" s="157" t="s">
        <v>890</v>
      </c>
      <c r="D179" s="157" t="s">
        <v>14</v>
      </c>
      <c r="E179" s="157" t="s">
        <v>14</v>
      </c>
      <c r="F179" s="158" t="s">
        <v>321</v>
      </c>
      <c r="G179" s="118">
        <v>0</v>
      </c>
      <c r="H179" s="152">
        <f>INDEX(Premiums!$G$27:$G$30,MATCH(Hafnia!E179,Premiums!$E$27:$E$30,0))*G179</f>
        <v>0</v>
      </c>
      <c r="I179" s="186">
        <v>74998</v>
      </c>
      <c r="J179" s="159">
        <v>2008</v>
      </c>
      <c r="K179" s="63">
        <v>2024</v>
      </c>
      <c r="L179" s="56">
        <f t="shared" si="39"/>
        <v>16</v>
      </c>
      <c r="M179" s="1">
        <f t="shared" si="41"/>
        <v>26.411442424242423</v>
      </c>
      <c r="N179" s="184">
        <v>1</v>
      </c>
      <c r="O179" s="1"/>
      <c r="P179" s="4">
        <f>INDEX('Vessel Valuations'!F$34:F$50,MATCH($E179,'Vessel Valuations'!$C$34:$C$50,0))</f>
        <v>1.2463092463092584E-4</v>
      </c>
      <c r="Q179" s="4">
        <f>INDEX('Vessel Valuations'!G$34:G$50,MATCH($E179,'Vessel Valuations'!$C$34:$C$50,0))</f>
        <v>2.8032634032633983E-2</v>
      </c>
      <c r="R179" s="4">
        <f>INDEX('Vessel Valuations'!H$34:H$50,MATCH($E179,'Vessel Valuations'!$C$34:$C$50,0))</f>
        <v>-2.83950271950272</v>
      </c>
      <c r="S179" s="4">
        <f>INDEX('Vessel Valuations'!I$34:I$50,MATCH($E179,'Vessel Valuations'!$C$34:$C$50,0))</f>
        <v>64.156643356643372</v>
      </c>
      <c r="U179" s="202">
        <v>46749</v>
      </c>
      <c r="V179" s="185">
        <f>((INDEX('FFA &amp; Spot Rates'!F$23:F$43,MATCH(Hafnia!$E179,'FFA &amp; Spot Rates'!$C$23:$C$43,0))+$H179)*(1-INDEX(V$149:V$152,MATCH(Hafnia!$E179,$D$149:$D$152,0)))+INDEX(V$149:V$152,MATCH(Hafnia!$E179,$D$149:$D$152,0))*INDEX(V$154:V$157,MATCH(Hafnia!$E179,$D$154:$D$157,0)))*$N179</f>
        <v>43057.96</v>
      </c>
      <c r="W179" s="185">
        <f>((INDEX('FFA &amp; Spot Rates'!G$23:G$43,MATCH(Hafnia!$E179,'FFA &amp; Spot Rates'!$C$23:$C$43,0))+$H179)*(1-INDEX(W$149:W$152,MATCH(Hafnia!$E179,$D$149:$D$152,0)))+INDEX(W$149:W$152,MATCH(Hafnia!$E179,$D$149:$D$152,0))*INDEX(W$154:W$157,MATCH(Hafnia!$E179,$D$154:$D$157,0)))*$N179</f>
        <v>33884</v>
      </c>
      <c r="X179" s="185">
        <f>((INDEX('FFA &amp; Spot Rates'!H$23:H$43,MATCH(Hafnia!$E179,'FFA &amp; Spot Rates'!$C$23:$C$43,0))+$H179)*(1-INDEX(X$149:X$152,MATCH(Hafnia!$E179,$D$149:$D$152,0)))+INDEX(X$149:X$152,MATCH(Hafnia!$E179,$D$149:$D$152,0))*INDEX(X$154:X$157,MATCH(Hafnia!$E179,$D$154:$D$157,0)))*$N179</f>
        <v>49578</v>
      </c>
      <c r="Y179" s="185">
        <f t="shared" si="40"/>
        <v>43317.24</v>
      </c>
      <c r="Z179" s="185"/>
      <c r="AA179" s="185"/>
      <c r="AB179" s="185"/>
      <c r="AC179" s="185"/>
      <c r="AD179" s="185"/>
      <c r="AI179" s="21"/>
      <c r="AJ179" s="21"/>
    </row>
    <row r="180" spans="3:36" s="20" customFormat="1" outlineLevel="1" x14ac:dyDescent="0.2">
      <c r="C180" s="157" t="s">
        <v>891</v>
      </c>
      <c r="D180" s="157" t="s">
        <v>14</v>
      </c>
      <c r="E180" s="157" t="s">
        <v>14</v>
      </c>
      <c r="F180" s="158" t="s">
        <v>321</v>
      </c>
      <c r="G180" s="118">
        <v>1</v>
      </c>
      <c r="H180" s="152">
        <f>INDEX(Premiums!$G$27:$G$30,MATCH(Hafnia!E180,Premiums!$E$27:$E$30,0))*G180</f>
        <v>2276.6383561643834</v>
      </c>
      <c r="I180" s="186">
        <v>74996</v>
      </c>
      <c r="J180" s="159">
        <v>2016</v>
      </c>
      <c r="K180" s="63">
        <v>2024</v>
      </c>
      <c r="L180" s="56">
        <f t="shared" si="39"/>
        <v>8</v>
      </c>
      <c r="M180" s="1">
        <f t="shared" si="41"/>
        <v>43.298521212121216</v>
      </c>
      <c r="N180" s="184">
        <v>1</v>
      </c>
      <c r="O180" s="1"/>
      <c r="P180" s="4">
        <f>INDEX('Vessel Valuations'!F$34:F$50,MATCH($E180,'Vessel Valuations'!$C$34:$C$50,0))</f>
        <v>1.2463092463092584E-4</v>
      </c>
      <c r="Q180" s="4">
        <f>INDEX('Vessel Valuations'!G$34:G$50,MATCH($E180,'Vessel Valuations'!$C$34:$C$50,0))</f>
        <v>2.8032634032633983E-2</v>
      </c>
      <c r="R180" s="4">
        <f>INDEX('Vessel Valuations'!H$34:H$50,MATCH($E180,'Vessel Valuations'!$C$34:$C$50,0))</f>
        <v>-2.83950271950272</v>
      </c>
      <c r="S180" s="4">
        <f>INDEX('Vessel Valuations'!I$34:I$50,MATCH($E180,'Vessel Valuations'!$C$34:$C$50,0))</f>
        <v>64.156643356643372</v>
      </c>
      <c r="U180" s="202">
        <v>46749</v>
      </c>
      <c r="V180" s="185">
        <f>((INDEX('FFA &amp; Spot Rates'!F$23:F$43,MATCH(Hafnia!$E180,'FFA &amp; Spot Rates'!$C$23:$C$43,0))+$H180)*(1-INDEX(V$149:V$152,MATCH(Hafnia!$E180,$D$149:$D$152,0)))+INDEX(V$149:V$152,MATCH(Hafnia!$E180,$D$149:$D$152,0))*INDEX(V$154:V$157,MATCH(Hafnia!$E180,$D$154:$D$157,0)))*$N180</f>
        <v>44105.213643835617</v>
      </c>
      <c r="W180" s="185">
        <f>((INDEX('FFA &amp; Spot Rates'!G$23:G$43,MATCH(Hafnia!$E180,'FFA &amp; Spot Rates'!$C$23:$C$43,0))+$H180)*(1-INDEX(W$149:W$152,MATCH(Hafnia!$E180,$D$149:$D$152,0)))+INDEX(W$149:W$152,MATCH(Hafnia!$E180,$D$149:$D$152,0))*INDEX(W$154:W$157,MATCH(Hafnia!$E180,$D$154:$D$157,0)))*$N180</f>
        <v>36160.638356164382</v>
      </c>
      <c r="X180" s="185">
        <f>((INDEX('FFA &amp; Spot Rates'!H$23:H$43,MATCH(Hafnia!$E180,'FFA &amp; Spot Rates'!$C$23:$C$43,0))+$H180)*(1-INDEX(X$149:X$152,MATCH(Hafnia!$E180,$D$149:$D$152,0)))+INDEX(X$149:X$152,MATCH(Hafnia!$E180,$D$149:$D$152,0))*INDEX(X$154:X$157,MATCH(Hafnia!$E180,$D$154:$D$157,0)))*$N180</f>
        <v>51854.638356164382</v>
      </c>
      <c r="Y180" s="185">
        <f t="shared" si="40"/>
        <v>44717.372589041101</v>
      </c>
      <c r="Z180" s="185"/>
      <c r="AA180" s="185"/>
      <c r="AB180" s="185"/>
      <c r="AC180" s="185"/>
      <c r="AD180" s="185"/>
      <c r="AI180" s="21"/>
      <c r="AJ180" s="21"/>
    </row>
    <row r="181" spans="3:36" s="20" customFormat="1" outlineLevel="1" x14ac:dyDescent="0.2">
      <c r="C181" s="157" t="s">
        <v>892</v>
      </c>
      <c r="D181" s="157" t="s">
        <v>14</v>
      </c>
      <c r="E181" s="157" t="s">
        <v>14</v>
      </c>
      <c r="F181" s="158" t="s">
        <v>321</v>
      </c>
      <c r="G181" s="118">
        <v>0</v>
      </c>
      <c r="H181" s="152">
        <f>INDEX(Premiums!$G$27:$G$30,MATCH(Hafnia!E181,Premiums!$E$27:$E$30,0))*G181</f>
        <v>0</v>
      </c>
      <c r="I181" s="186">
        <v>74996</v>
      </c>
      <c r="J181" s="159">
        <v>2009</v>
      </c>
      <c r="K181" s="63">
        <v>2024</v>
      </c>
      <c r="L181" s="56">
        <f t="shared" si="39"/>
        <v>15</v>
      </c>
      <c r="M181" s="1">
        <f t="shared" si="41"/>
        <v>28.292074592074592</v>
      </c>
      <c r="N181" s="184">
        <v>1</v>
      </c>
      <c r="O181" s="1"/>
      <c r="P181" s="4">
        <f>INDEX('Vessel Valuations'!F$34:F$50,MATCH($E181,'Vessel Valuations'!$C$34:$C$50,0))</f>
        <v>1.2463092463092584E-4</v>
      </c>
      <c r="Q181" s="4">
        <f>INDEX('Vessel Valuations'!G$34:G$50,MATCH($E181,'Vessel Valuations'!$C$34:$C$50,0))</f>
        <v>2.8032634032633983E-2</v>
      </c>
      <c r="R181" s="4">
        <f>INDEX('Vessel Valuations'!H$34:H$50,MATCH($E181,'Vessel Valuations'!$C$34:$C$50,0))</f>
        <v>-2.83950271950272</v>
      </c>
      <c r="S181" s="4">
        <f>INDEX('Vessel Valuations'!I$34:I$50,MATCH($E181,'Vessel Valuations'!$C$34:$C$50,0))</f>
        <v>64.156643356643372</v>
      </c>
      <c r="U181" s="202">
        <v>46749</v>
      </c>
      <c r="V181" s="185">
        <f>((INDEX('FFA &amp; Spot Rates'!F$23:F$43,MATCH(Hafnia!$E181,'FFA &amp; Spot Rates'!$C$23:$C$43,0))+$H181)*(1-INDEX(V$149:V$152,MATCH(Hafnia!$E181,$D$149:$D$152,0)))+INDEX(V$149:V$152,MATCH(Hafnia!$E181,$D$149:$D$152,0))*INDEX(V$154:V$157,MATCH(Hafnia!$E181,$D$154:$D$157,0)))*$N181</f>
        <v>43057.96</v>
      </c>
      <c r="W181" s="185">
        <f>((INDEX('FFA &amp; Spot Rates'!G$23:G$43,MATCH(Hafnia!$E181,'FFA &amp; Spot Rates'!$C$23:$C$43,0))+$H181)*(1-INDEX(W$149:W$152,MATCH(Hafnia!$E181,$D$149:$D$152,0)))+INDEX(W$149:W$152,MATCH(Hafnia!$E181,$D$149:$D$152,0))*INDEX(W$154:W$157,MATCH(Hafnia!$E181,$D$154:$D$157,0)))*$N181</f>
        <v>33884</v>
      </c>
      <c r="X181" s="185">
        <f>((INDEX('FFA &amp; Spot Rates'!H$23:H$43,MATCH(Hafnia!$E181,'FFA &amp; Spot Rates'!$C$23:$C$43,0))+$H181)*(1-INDEX(X$149:X$152,MATCH(Hafnia!$E181,$D$149:$D$152,0)))+INDEX(X$149:X$152,MATCH(Hafnia!$E181,$D$149:$D$152,0))*INDEX(X$154:X$157,MATCH(Hafnia!$E181,$D$154:$D$157,0)))*$N181</f>
        <v>49578</v>
      </c>
      <c r="Y181" s="185">
        <f t="shared" si="40"/>
        <v>43317.24</v>
      </c>
      <c r="Z181" s="185"/>
      <c r="AA181" s="185"/>
      <c r="AB181" s="185"/>
      <c r="AC181" s="185"/>
      <c r="AD181" s="185"/>
      <c r="AI181" s="21"/>
      <c r="AJ181" s="21"/>
    </row>
    <row r="182" spans="3:36" s="20" customFormat="1" outlineLevel="1" x14ac:dyDescent="0.2">
      <c r="C182" s="157" t="s">
        <v>893</v>
      </c>
      <c r="D182" s="157" t="s">
        <v>14</v>
      </c>
      <c r="E182" s="157" t="s">
        <v>14</v>
      </c>
      <c r="F182" s="158" t="s">
        <v>321</v>
      </c>
      <c r="G182" s="118">
        <v>1</v>
      </c>
      <c r="H182" s="152">
        <f>INDEX(Premiums!$G$27:$G$30,MATCH(Hafnia!E182,Premiums!$E$27:$E$30,0))*G182</f>
        <v>2276.6383561643834</v>
      </c>
      <c r="I182" s="186">
        <v>74996</v>
      </c>
      <c r="J182" s="159">
        <v>2016</v>
      </c>
      <c r="K182" s="63">
        <v>2024</v>
      </c>
      <c r="L182" s="56">
        <f t="shared" si="39"/>
        <v>8</v>
      </c>
      <c r="M182" s="1">
        <f t="shared" si="41"/>
        <v>43.298521212121216</v>
      </c>
      <c r="N182" s="184">
        <v>1</v>
      </c>
      <c r="O182" s="1"/>
      <c r="P182" s="4">
        <f>INDEX('Vessel Valuations'!F$34:F$50,MATCH($E182,'Vessel Valuations'!$C$34:$C$50,0))</f>
        <v>1.2463092463092584E-4</v>
      </c>
      <c r="Q182" s="4">
        <f>INDEX('Vessel Valuations'!G$34:G$50,MATCH($E182,'Vessel Valuations'!$C$34:$C$50,0))</f>
        <v>2.8032634032633983E-2</v>
      </c>
      <c r="R182" s="4">
        <f>INDEX('Vessel Valuations'!H$34:H$50,MATCH($E182,'Vessel Valuations'!$C$34:$C$50,0))</f>
        <v>-2.83950271950272</v>
      </c>
      <c r="S182" s="4">
        <f>INDEX('Vessel Valuations'!I$34:I$50,MATCH($E182,'Vessel Valuations'!$C$34:$C$50,0))</f>
        <v>64.156643356643372</v>
      </c>
      <c r="U182" s="202">
        <v>46749</v>
      </c>
      <c r="V182" s="185">
        <f>((INDEX('FFA &amp; Spot Rates'!F$23:F$43,MATCH(Hafnia!$E182,'FFA &amp; Spot Rates'!$C$23:$C$43,0))+$H182)*(1-INDEX(V$149:V$152,MATCH(Hafnia!$E182,$D$149:$D$152,0)))+INDEX(V$149:V$152,MATCH(Hafnia!$E182,$D$149:$D$152,0))*INDEX(V$154:V$157,MATCH(Hafnia!$E182,$D$154:$D$157,0)))*$N182</f>
        <v>44105.213643835617</v>
      </c>
      <c r="W182" s="185">
        <f>((INDEX('FFA &amp; Spot Rates'!G$23:G$43,MATCH(Hafnia!$E182,'FFA &amp; Spot Rates'!$C$23:$C$43,0))+$H182)*(1-INDEX(W$149:W$152,MATCH(Hafnia!$E182,$D$149:$D$152,0)))+INDEX(W$149:W$152,MATCH(Hafnia!$E182,$D$149:$D$152,0))*INDEX(W$154:W$157,MATCH(Hafnia!$E182,$D$154:$D$157,0)))*$N182</f>
        <v>36160.638356164382</v>
      </c>
      <c r="X182" s="185">
        <f>((INDEX('FFA &amp; Spot Rates'!H$23:H$43,MATCH(Hafnia!$E182,'FFA &amp; Spot Rates'!$C$23:$C$43,0))+$H182)*(1-INDEX(X$149:X$152,MATCH(Hafnia!$E182,$D$149:$D$152,0)))+INDEX(X$149:X$152,MATCH(Hafnia!$E182,$D$149:$D$152,0))*INDEX(X$154:X$157,MATCH(Hafnia!$E182,$D$154:$D$157,0)))*$N182</f>
        <v>51854.638356164382</v>
      </c>
      <c r="Y182" s="185">
        <f t="shared" si="40"/>
        <v>44717.372589041101</v>
      </c>
      <c r="Z182" s="185"/>
      <c r="AA182" s="185"/>
      <c r="AB182" s="185"/>
      <c r="AC182" s="185"/>
      <c r="AD182" s="185"/>
      <c r="AI182" s="21"/>
      <c r="AJ182" s="21"/>
    </row>
    <row r="183" spans="3:36" s="20" customFormat="1" outlineLevel="1" x14ac:dyDescent="0.2">
      <c r="C183" s="157" t="s">
        <v>894</v>
      </c>
      <c r="D183" s="157" t="s">
        <v>14</v>
      </c>
      <c r="E183" s="157" t="s">
        <v>14</v>
      </c>
      <c r="F183" s="158" t="s">
        <v>321</v>
      </c>
      <c r="G183" s="118">
        <v>1</v>
      </c>
      <c r="H183" s="152">
        <f>INDEX(Premiums!$G$27:$G$30,MATCH(Hafnia!E183,Premiums!$E$27:$E$30,0))*G183</f>
        <v>2276.6383561643834</v>
      </c>
      <c r="I183" s="186">
        <v>74996</v>
      </c>
      <c r="J183" s="159">
        <v>2016</v>
      </c>
      <c r="K183" s="63">
        <v>2024</v>
      </c>
      <c r="L183" s="56">
        <f t="shared" si="39"/>
        <v>8</v>
      </c>
      <c r="M183" s="1">
        <f t="shared" si="41"/>
        <v>43.298521212121216</v>
      </c>
      <c r="N183" s="184">
        <v>1</v>
      </c>
      <c r="O183" s="1"/>
      <c r="P183" s="4">
        <f>INDEX('Vessel Valuations'!F$34:F$50,MATCH($E183,'Vessel Valuations'!$C$34:$C$50,0))</f>
        <v>1.2463092463092584E-4</v>
      </c>
      <c r="Q183" s="4">
        <f>INDEX('Vessel Valuations'!G$34:G$50,MATCH($E183,'Vessel Valuations'!$C$34:$C$50,0))</f>
        <v>2.8032634032633983E-2</v>
      </c>
      <c r="R183" s="4">
        <f>INDEX('Vessel Valuations'!H$34:H$50,MATCH($E183,'Vessel Valuations'!$C$34:$C$50,0))</f>
        <v>-2.83950271950272</v>
      </c>
      <c r="S183" s="4">
        <f>INDEX('Vessel Valuations'!I$34:I$50,MATCH($E183,'Vessel Valuations'!$C$34:$C$50,0))</f>
        <v>64.156643356643372</v>
      </c>
      <c r="U183" s="202">
        <v>46749</v>
      </c>
      <c r="V183" s="185">
        <f>((INDEX('FFA &amp; Spot Rates'!F$23:F$43,MATCH(Hafnia!$E183,'FFA &amp; Spot Rates'!$C$23:$C$43,0))+$H183)*(1-INDEX(V$149:V$152,MATCH(Hafnia!$E183,$D$149:$D$152,0)))+INDEX(V$149:V$152,MATCH(Hafnia!$E183,$D$149:$D$152,0))*INDEX(V$154:V$157,MATCH(Hafnia!$E183,$D$154:$D$157,0)))*$N183</f>
        <v>44105.213643835617</v>
      </c>
      <c r="W183" s="185">
        <f>((INDEX('FFA &amp; Spot Rates'!G$23:G$43,MATCH(Hafnia!$E183,'FFA &amp; Spot Rates'!$C$23:$C$43,0))+$H183)*(1-INDEX(W$149:W$152,MATCH(Hafnia!$E183,$D$149:$D$152,0)))+INDEX(W$149:W$152,MATCH(Hafnia!$E183,$D$149:$D$152,0))*INDEX(W$154:W$157,MATCH(Hafnia!$E183,$D$154:$D$157,0)))*$N183</f>
        <v>36160.638356164382</v>
      </c>
      <c r="X183" s="185">
        <f>((INDEX('FFA &amp; Spot Rates'!H$23:H$43,MATCH(Hafnia!$E183,'FFA &amp; Spot Rates'!$C$23:$C$43,0))+$H183)*(1-INDEX(X$149:X$152,MATCH(Hafnia!$E183,$D$149:$D$152,0)))+INDEX(X$149:X$152,MATCH(Hafnia!$E183,$D$149:$D$152,0))*INDEX(X$154:X$157,MATCH(Hafnia!$E183,$D$154:$D$157,0)))*$N183</f>
        <v>51854.638356164382</v>
      </c>
      <c r="Y183" s="185">
        <f t="shared" si="40"/>
        <v>44717.372589041101</v>
      </c>
      <c r="Z183" s="185"/>
      <c r="AA183" s="185"/>
      <c r="AB183" s="185"/>
      <c r="AC183" s="185"/>
      <c r="AD183" s="185"/>
      <c r="AI183" s="21"/>
      <c r="AJ183" s="21"/>
    </row>
    <row r="184" spans="3:36" s="20" customFormat="1" outlineLevel="1" x14ac:dyDescent="0.2">
      <c r="C184" s="157" t="s">
        <v>895</v>
      </c>
      <c r="D184" s="157" t="s">
        <v>14</v>
      </c>
      <c r="E184" s="157" t="s">
        <v>14</v>
      </c>
      <c r="F184" s="158" t="s">
        <v>321</v>
      </c>
      <c r="G184" s="118">
        <v>1</v>
      </c>
      <c r="H184" s="152">
        <f>INDEX(Premiums!$G$27:$G$30,MATCH(Hafnia!E184,Premiums!$E$27:$E$30,0))*G184</f>
        <v>2276.6383561643834</v>
      </c>
      <c r="I184" s="186">
        <v>74996</v>
      </c>
      <c r="J184" s="159">
        <v>2016</v>
      </c>
      <c r="K184" s="63">
        <v>2024</v>
      </c>
      <c r="L184" s="56">
        <f t="shared" si="39"/>
        <v>8</v>
      </c>
      <c r="M184" s="1">
        <f t="shared" si="41"/>
        <v>43.298521212121216</v>
      </c>
      <c r="N184" s="184">
        <v>1</v>
      </c>
      <c r="O184" s="1"/>
      <c r="P184" s="4">
        <f>INDEX('Vessel Valuations'!F$34:F$50,MATCH($E184,'Vessel Valuations'!$C$34:$C$50,0))</f>
        <v>1.2463092463092584E-4</v>
      </c>
      <c r="Q184" s="4">
        <f>INDEX('Vessel Valuations'!G$34:G$50,MATCH($E184,'Vessel Valuations'!$C$34:$C$50,0))</f>
        <v>2.8032634032633983E-2</v>
      </c>
      <c r="R184" s="4">
        <f>INDEX('Vessel Valuations'!H$34:H$50,MATCH($E184,'Vessel Valuations'!$C$34:$C$50,0))</f>
        <v>-2.83950271950272</v>
      </c>
      <c r="S184" s="4">
        <f>INDEX('Vessel Valuations'!I$34:I$50,MATCH($E184,'Vessel Valuations'!$C$34:$C$50,0))</f>
        <v>64.156643356643372</v>
      </c>
      <c r="U184" s="202">
        <v>46749</v>
      </c>
      <c r="V184" s="185">
        <f>((INDEX('FFA &amp; Spot Rates'!F$23:F$43,MATCH(Hafnia!$E184,'FFA &amp; Spot Rates'!$C$23:$C$43,0))+$H184)*(1-INDEX(V$149:V$152,MATCH(Hafnia!$E184,$D$149:$D$152,0)))+INDEX(V$149:V$152,MATCH(Hafnia!$E184,$D$149:$D$152,0))*INDEX(V$154:V$157,MATCH(Hafnia!$E184,$D$154:$D$157,0)))*$N184</f>
        <v>44105.213643835617</v>
      </c>
      <c r="W184" s="185">
        <f>((INDEX('FFA &amp; Spot Rates'!G$23:G$43,MATCH(Hafnia!$E184,'FFA &amp; Spot Rates'!$C$23:$C$43,0))+$H184)*(1-INDEX(W$149:W$152,MATCH(Hafnia!$E184,$D$149:$D$152,0)))+INDEX(W$149:W$152,MATCH(Hafnia!$E184,$D$149:$D$152,0))*INDEX(W$154:W$157,MATCH(Hafnia!$E184,$D$154:$D$157,0)))*$N184</f>
        <v>36160.638356164382</v>
      </c>
      <c r="X184" s="185">
        <f>((INDEX('FFA &amp; Spot Rates'!H$23:H$43,MATCH(Hafnia!$E184,'FFA &amp; Spot Rates'!$C$23:$C$43,0))+$H184)*(1-INDEX(X$149:X$152,MATCH(Hafnia!$E184,$D$149:$D$152,0)))+INDEX(X$149:X$152,MATCH(Hafnia!$E184,$D$149:$D$152,0))*INDEX(X$154:X$157,MATCH(Hafnia!$E184,$D$154:$D$157,0)))*$N184</f>
        <v>51854.638356164382</v>
      </c>
      <c r="Y184" s="185">
        <f t="shared" si="40"/>
        <v>44717.372589041101</v>
      </c>
      <c r="Z184" s="185"/>
      <c r="AA184" s="185"/>
      <c r="AB184" s="185"/>
      <c r="AC184" s="185"/>
      <c r="AD184" s="185"/>
      <c r="AI184" s="21"/>
      <c r="AJ184" s="21"/>
    </row>
    <row r="185" spans="3:36" s="20" customFormat="1" outlineLevel="1" x14ac:dyDescent="0.2">
      <c r="C185" s="157" t="s">
        <v>896</v>
      </c>
      <c r="D185" s="157" t="s">
        <v>14</v>
      </c>
      <c r="E185" s="157" t="s">
        <v>14</v>
      </c>
      <c r="F185" s="158" t="s">
        <v>321</v>
      </c>
      <c r="G185" s="118">
        <v>0</v>
      </c>
      <c r="H185" s="152">
        <f>INDEX(Premiums!$G$27:$G$30,MATCH(Hafnia!E185,Premiums!$E$27:$E$30,0))*G185</f>
        <v>0</v>
      </c>
      <c r="I185" s="186">
        <v>74995</v>
      </c>
      <c r="J185" s="159">
        <v>2010</v>
      </c>
      <c r="K185" s="63">
        <v>2024</v>
      </c>
      <c r="L185" s="56">
        <f t="shared" si="39"/>
        <v>14</v>
      </c>
      <c r="M185" s="1">
        <f t="shared" si="41"/>
        <v>30.239988811188809</v>
      </c>
      <c r="N185" s="184">
        <v>1</v>
      </c>
      <c r="O185" s="1"/>
      <c r="P185" s="4">
        <f>INDEX('Vessel Valuations'!F$34:F$50,MATCH($E185,'Vessel Valuations'!$C$34:$C$50,0))</f>
        <v>1.2463092463092584E-4</v>
      </c>
      <c r="Q185" s="4">
        <f>INDEX('Vessel Valuations'!G$34:G$50,MATCH($E185,'Vessel Valuations'!$C$34:$C$50,0))</f>
        <v>2.8032634032633983E-2</v>
      </c>
      <c r="R185" s="4">
        <f>INDEX('Vessel Valuations'!H$34:H$50,MATCH($E185,'Vessel Valuations'!$C$34:$C$50,0))</f>
        <v>-2.83950271950272</v>
      </c>
      <c r="S185" s="4">
        <f>INDEX('Vessel Valuations'!I$34:I$50,MATCH($E185,'Vessel Valuations'!$C$34:$C$50,0))</f>
        <v>64.156643356643372</v>
      </c>
      <c r="U185" s="202">
        <v>46749</v>
      </c>
      <c r="V185" s="185">
        <f>((INDEX('FFA &amp; Spot Rates'!F$23:F$43,MATCH(Hafnia!$E185,'FFA &amp; Spot Rates'!$C$23:$C$43,0))+$H185)*(1-INDEX(V$149:V$152,MATCH(Hafnia!$E185,$D$149:$D$152,0)))+INDEX(V$149:V$152,MATCH(Hafnia!$E185,$D$149:$D$152,0))*INDEX(V$154:V$157,MATCH(Hafnia!$E185,$D$154:$D$157,0)))*$N185</f>
        <v>43057.96</v>
      </c>
      <c r="W185" s="185">
        <f>((INDEX('FFA &amp; Spot Rates'!G$23:G$43,MATCH(Hafnia!$E185,'FFA &amp; Spot Rates'!$C$23:$C$43,0))+$H185)*(1-INDEX(W$149:W$152,MATCH(Hafnia!$E185,$D$149:$D$152,0)))+INDEX(W$149:W$152,MATCH(Hafnia!$E185,$D$149:$D$152,0))*INDEX(W$154:W$157,MATCH(Hafnia!$E185,$D$154:$D$157,0)))*$N185</f>
        <v>33884</v>
      </c>
      <c r="X185" s="185">
        <f>((INDEX('FFA &amp; Spot Rates'!H$23:H$43,MATCH(Hafnia!$E185,'FFA &amp; Spot Rates'!$C$23:$C$43,0))+$H185)*(1-INDEX(X$149:X$152,MATCH(Hafnia!$E185,$D$149:$D$152,0)))+INDEX(X$149:X$152,MATCH(Hafnia!$E185,$D$149:$D$152,0))*INDEX(X$154:X$157,MATCH(Hafnia!$E185,$D$154:$D$157,0)))*$N185</f>
        <v>49578</v>
      </c>
      <c r="Y185" s="185">
        <f t="shared" si="40"/>
        <v>43317.24</v>
      </c>
      <c r="Z185" s="185"/>
      <c r="AA185" s="185"/>
      <c r="AB185" s="185"/>
      <c r="AC185" s="185"/>
      <c r="AD185" s="185"/>
      <c r="AI185" s="21"/>
      <c r="AJ185" s="21"/>
    </row>
    <row r="186" spans="3:36" s="20" customFormat="1" outlineLevel="1" x14ac:dyDescent="0.2">
      <c r="C186" s="157" t="s">
        <v>897</v>
      </c>
      <c r="D186" s="157" t="s">
        <v>14</v>
      </c>
      <c r="E186" s="157" t="s">
        <v>14</v>
      </c>
      <c r="F186" s="158" t="s">
        <v>321</v>
      </c>
      <c r="G186" s="118">
        <v>1</v>
      </c>
      <c r="H186" s="152">
        <f>INDEX(Premiums!$G$27:$G$30,MATCH(Hafnia!E186,Premiums!$E$27:$E$30,0))*G186</f>
        <v>2276.6383561643834</v>
      </c>
      <c r="I186" s="186">
        <v>74669</v>
      </c>
      <c r="J186" s="159">
        <v>2016</v>
      </c>
      <c r="K186" s="63">
        <v>2024</v>
      </c>
      <c r="L186" s="56">
        <f t="shared" si="39"/>
        <v>8</v>
      </c>
      <c r="M186" s="1">
        <f t="shared" si="41"/>
        <v>43.298521212121216</v>
      </c>
      <c r="N186" s="184">
        <v>1</v>
      </c>
      <c r="O186" s="1"/>
      <c r="P186" s="4">
        <f>INDEX('Vessel Valuations'!F$34:F$50,MATCH($E186,'Vessel Valuations'!$C$34:$C$50,0))</f>
        <v>1.2463092463092584E-4</v>
      </c>
      <c r="Q186" s="4">
        <f>INDEX('Vessel Valuations'!G$34:G$50,MATCH($E186,'Vessel Valuations'!$C$34:$C$50,0))</f>
        <v>2.8032634032633983E-2</v>
      </c>
      <c r="R186" s="4">
        <f>INDEX('Vessel Valuations'!H$34:H$50,MATCH($E186,'Vessel Valuations'!$C$34:$C$50,0))</f>
        <v>-2.83950271950272</v>
      </c>
      <c r="S186" s="4">
        <f>INDEX('Vessel Valuations'!I$34:I$50,MATCH($E186,'Vessel Valuations'!$C$34:$C$50,0))</f>
        <v>64.156643356643372</v>
      </c>
      <c r="U186" s="202">
        <v>46749</v>
      </c>
      <c r="V186" s="185">
        <f>((INDEX('FFA &amp; Spot Rates'!F$23:F$43,MATCH(Hafnia!$E186,'FFA &amp; Spot Rates'!$C$23:$C$43,0))+$H186)*(1-INDEX(V$149:V$152,MATCH(Hafnia!$E186,$D$149:$D$152,0)))+INDEX(V$149:V$152,MATCH(Hafnia!$E186,$D$149:$D$152,0))*INDEX(V$154:V$157,MATCH(Hafnia!$E186,$D$154:$D$157,0)))*$N186</f>
        <v>44105.213643835617</v>
      </c>
      <c r="W186" s="185">
        <f>((INDEX('FFA &amp; Spot Rates'!G$23:G$43,MATCH(Hafnia!$E186,'FFA &amp; Spot Rates'!$C$23:$C$43,0))+$H186)*(1-INDEX(W$149:W$152,MATCH(Hafnia!$E186,$D$149:$D$152,0)))+INDEX(W$149:W$152,MATCH(Hafnia!$E186,$D$149:$D$152,0))*INDEX(W$154:W$157,MATCH(Hafnia!$E186,$D$154:$D$157,0)))*$N186</f>
        <v>36160.638356164382</v>
      </c>
      <c r="X186" s="185">
        <f>((INDEX('FFA &amp; Spot Rates'!H$23:H$43,MATCH(Hafnia!$E186,'FFA &amp; Spot Rates'!$C$23:$C$43,0))+$H186)*(1-INDEX(X$149:X$152,MATCH(Hafnia!$E186,$D$149:$D$152,0)))+INDEX(X$149:X$152,MATCH(Hafnia!$E186,$D$149:$D$152,0))*INDEX(X$154:X$157,MATCH(Hafnia!$E186,$D$154:$D$157,0)))*$N186</f>
        <v>51854.638356164382</v>
      </c>
      <c r="Y186" s="185">
        <f t="shared" si="40"/>
        <v>44717.372589041101</v>
      </c>
      <c r="Z186" s="185"/>
      <c r="AA186" s="185"/>
      <c r="AB186" s="185"/>
      <c r="AC186" s="185"/>
      <c r="AD186" s="185"/>
      <c r="AI186" s="21"/>
      <c r="AJ186" s="21"/>
    </row>
    <row r="187" spans="3:36" s="20" customFormat="1" outlineLevel="1" x14ac:dyDescent="0.2">
      <c r="C187" s="157" t="s">
        <v>898</v>
      </c>
      <c r="D187" s="157" t="s">
        <v>14</v>
      </c>
      <c r="E187" s="157" t="s">
        <v>14</v>
      </c>
      <c r="F187" s="158" t="s">
        <v>321</v>
      </c>
      <c r="G187" s="118">
        <v>1</v>
      </c>
      <c r="H187" s="152">
        <f>INDEX(Premiums!$G$27:$G$30,MATCH(Hafnia!E187,Premiums!$E$27:$E$30,0))*G187</f>
        <v>2276.6383561643834</v>
      </c>
      <c r="I187" s="186">
        <v>74665</v>
      </c>
      <c r="J187" s="159">
        <v>2016</v>
      </c>
      <c r="K187" s="63">
        <v>2024</v>
      </c>
      <c r="L187" s="56">
        <f t="shared" si="39"/>
        <v>8</v>
      </c>
      <c r="M187" s="1">
        <f t="shared" si="41"/>
        <v>43.298521212121216</v>
      </c>
      <c r="N187" s="184">
        <v>1</v>
      </c>
      <c r="O187" s="1"/>
      <c r="P187" s="4">
        <f>INDEX('Vessel Valuations'!F$34:F$50,MATCH($E187,'Vessel Valuations'!$C$34:$C$50,0))</f>
        <v>1.2463092463092584E-4</v>
      </c>
      <c r="Q187" s="4">
        <f>INDEX('Vessel Valuations'!G$34:G$50,MATCH($E187,'Vessel Valuations'!$C$34:$C$50,0))</f>
        <v>2.8032634032633983E-2</v>
      </c>
      <c r="R187" s="4">
        <f>INDEX('Vessel Valuations'!H$34:H$50,MATCH($E187,'Vessel Valuations'!$C$34:$C$50,0))</f>
        <v>-2.83950271950272</v>
      </c>
      <c r="S187" s="4">
        <f>INDEX('Vessel Valuations'!I$34:I$50,MATCH($E187,'Vessel Valuations'!$C$34:$C$50,0))</f>
        <v>64.156643356643372</v>
      </c>
      <c r="U187" s="202">
        <v>46749</v>
      </c>
      <c r="V187" s="185">
        <f>((INDEX('FFA &amp; Spot Rates'!F$23:F$43,MATCH(Hafnia!$E187,'FFA &amp; Spot Rates'!$C$23:$C$43,0))+$H187)*(1-INDEX(V$149:V$152,MATCH(Hafnia!$E187,$D$149:$D$152,0)))+INDEX(V$149:V$152,MATCH(Hafnia!$E187,$D$149:$D$152,0))*INDEX(V$154:V$157,MATCH(Hafnia!$E187,$D$154:$D$157,0)))*$N187</f>
        <v>44105.213643835617</v>
      </c>
      <c r="W187" s="185">
        <f>((INDEX('FFA &amp; Spot Rates'!G$23:G$43,MATCH(Hafnia!$E187,'FFA &amp; Spot Rates'!$C$23:$C$43,0))+$H187)*(1-INDEX(W$149:W$152,MATCH(Hafnia!$E187,$D$149:$D$152,0)))+INDEX(W$149:W$152,MATCH(Hafnia!$E187,$D$149:$D$152,0))*INDEX(W$154:W$157,MATCH(Hafnia!$E187,$D$154:$D$157,0)))*$N187</f>
        <v>36160.638356164382</v>
      </c>
      <c r="X187" s="185">
        <f>((INDEX('FFA &amp; Spot Rates'!H$23:H$43,MATCH(Hafnia!$E187,'FFA &amp; Spot Rates'!$C$23:$C$43,0))+$H187)*(1-INDEX(X$149:X$152,MATCH(Hafnia!$E187,$D$149:$D$152,0)))+INDEX(X$149:X$152,MATCH(Hafnia!$E187,$D$149:$D$152,0))*INDEX(X$154:X$157,MATCH(Hafnia!$E187,$D$154:$D$157,0)))*$N187</f>
        <v>51854.638356164382</v>
      </c>
      <c r="Y187" s="185">
        <f t="shared" si="40"/>
        <v>44717.372589041101</v>
      </c>
      <c r="Z187" s="185"/>
      <c r="AA187" s="185"/>
      <c r="AB187" s="185"/>
      <c r="AC187" s="185"/>
      <c r="AD187" s="185"/>
      <c r="AI187" s="21"/>
      <c r="AJ187" s="21"/>
    </row>
    <row r="188" spans="3:36" s="20" customFormat="1" outlineLevel="1" x14ac:dyDescent="0.2">
      <c r="C188" s="157" t="s">
        <v>899</v>
      </c>
      <c r="D188" s="157" t="s">
        <v>14</v>
      </c>
      <c r="E188" s="157" t="s">
        <v>14</v>
      </c>
      <c r="F188" s="158" t="s">
        <v>321</v>
      </c>
      <c r="G188" s="118">
        <v>1</v>
      </c>
      <c r="H188" s="152">
        <f>INDEX(Premiums!$G$27:$G$30,MATCH(Hafnia!E188,Premiums!$E$27:$E$30,0))*G188</f>
        <v>2276.6383561643834</v>
      </c>
      <c r="I188" s="186">
        <v>74664</v>
      </c>
      <c r="J188" s="159">
        <v>2016</v>
      </c>
      <c r="K188" s="63">
        <v>2024</v>
      </c>
      <c r="L188" s="56">
        <f t="shared" si="39"/>
        <v>8</v>
      </c>
      <c r="M188" s="1">
        <f t="shared" si="41"/>
        <v>43.298521212121216</v>
      </c>
      <c r="N188" s="184">
        <v>1</v>
      </c>
      <c r="O188" s="1"/>
      <c r="P188" s="4">
        <f>INDEX('Vessel Valuations'!F$34:F$50,MATCH($E188,'Vessel Valuations'!$C$34:$C$50,0))</f>
        <v>1.2463092463092584E-4</v>
      </c>
      <c r="Q188" s="4">
        <f>INDEX('Vessel Valuations'!G$34:G$50,MATCH($E188,'Vessel Valuations'!$C$34:$C$50,0))</f>
        <v>2.8032634032633983E-2</v>
      </c>
      <c r="R188" s="4">
        <f>INDEX('Vessel Valuations'!H$34:H$50,MATCH($E188,'Vessel Valuations'!$C$34:$C$50,0))</f>
        <v>-2.83950271950272</v>
      </c>
      <c r="S188" s="4">
        <f>INDEX('Vessel Valuations'!I$34:I$50,MATCH($E188,'Vessel Valuations'!$C$34:$C$50,0))</f>
        <v>64.156643356643372</v>
      </c>
      <c r="U188" s="202">
        <v>46749</v>
      </c>
      <c r="V188" s="185">
        <f>((INDEX('FFA &amp; Spot Rates'!F$23:F$43,MATCH(Hafnia!$E188,'FFA &amp; Spot Rates'!$C$23:$C$43,0))+$H188)*(1-INDEX(V$149:V$152,MATCH(Hafnia!$E188,$D$149:$D$152,0)))+INDEX(V$149:V$152,MATCH(Hafnia!$E188,$D$149:$D$152,0))*INDEX(V$154:V$157,MATCH(Hafnia!$E188,$D$154:$D$157,0)))*$N188</f>
        <v>44105.213643835617</v>
      </c>
      <c r="W188" s="185">
        <f>((INDEX('FFA &amp; Spot Rates'!G$23:G$43,MATCH(Hafnia!$E188,'FFA &amp; Spot Rates'!$C$23:$C$43,0))+$H188)*(1-INDEX(W$149:W$152,MATCH(Hafnia!$E188,$D$149:$D$152,0)))+INDEX(W$149:W$152,MATCH(Hafnia!$E188,$D$149:$D$152,0))*INDEX(W$154:W$157,MATCH(Hafnia!$E188,$D$154:$D$157,0)))*$N188</f>
        <v>36160.638356164382</v>
      </c>
      <c r="X188" s="185">
        <f>((INDEX('FFA &amp; Spot Rates'!H$23:H$43,MATCH(Hafnia!$E188,'FFA &amp; Spot Rates'!$C$23:$C$43,0))+$H188)*(1-INDEX(X$149:X$152,MATCH(Hafnia!$E188,$D$149:$D$152,0)))+INDEX(X$149:X$152,MATCH(Hafnia!$E188,$D$149:$D$152,0))*INDEX(X$154:X$157,MATCH(Hafnia!$E188,$D$154:$D$157,0)))*$N188</f>
        <v>51854.638356164382</v>
      </c>
      <c r="Y188" s="185">
        <f t="shared" si="40"/>
        <v>44717.372589041101</v>
      </c>
      <c r="Z188" s="185"/>
      <c r="AA188" s="185"/>
      <c r="AB188" s="185"/>
      <c r="AC188" s="185"/>
      <c r="AD188" s="185"/>
      <c r="AI188" s="21"/>
      <c r="AJ188" s="21"/>
    </row>
    <row r="189" spans="3:36" s="20" customFormat="1" outlineLevel="1" x14ac:dyDescent="0.2">
      <c r="C189" s="157" t="s">
        <v>900</v>
      </c>
      <c r="D189" s="157" t="s">
        <v>14</v>
      </c>
      <c r="E189" s="157" t="s">
        <v>14</v>
      </c>
      <c r="F189" s="158" t="s">
        <v>321</v>
      </c>
      <c r="G189" s="118">
        <v>1</v>
      </c>
      <c r="H189" s="152">
        <f>INDEX(Premiums!$G$27:$G$30,MATCH(Hafnia!E189,Premiums!$E$27:$E$30,0))*G189</f>
        <v>2276.6383561643834</v>
      </c>
      <c r="I189" s="186">
        <v>74663</v>
      </c>
      <c r="J189" s="159">
        <v>2016</v>
      </c>
      <c r="K189" s="63">
        <v>2024</v>
      </c>
      <c r="L189" s="56">
        <f t="shared" si="39"/>
        <v>8</v>
      </c>
      <c r="M189" s="1">
        <f t="shared" si="41"/>
        <v>43.298521212121216</v>
      </c>
      <c r="N189" s="184">
        <v>1</v>
      </c>
      <c r="O189" s="1"/>
      <c r="P189" s="4">
        <f>INDEX('Vessel Valuations'!F$34:F$50,MATCH($E189,'Vessel Valuations'!$C$34:$C$50,0))</f>
        <v>1.2463092463092584E-4</v>
      </c>
      <c r="Q189" s="4">
        <f>INDEX('Vessel Valuations'!G$34:G$50,MATCH($E189,'Vessel Valuations'!$C$34:$C$50,0))</f>
        <v>2.8032634032633983E-2</v>
      </c>
      <c r="R189" s="4">
        <f>INDEX('Vessel Valuations'!H$34:H$50,MATCH($E189,'Vessel Valuations'!$C$34:$C$50,0))</f>
        <v>-2.83950271950272</v>
      </c>
      <c r="S189" s="4">
        <f>INDEX('Vessel Valuations'!I$34:I$50,MATCH($E189,'Vessel Valuations'!$C$34:$C$50,0))</f>
        <v>64.156643356643372</v>
      </c>
      <c r="U189" s="202">
        <v>46749</v>
      </c>
      <c r="V189" s="185">
        <f>((INDEX('FFA &amp; Spot Rates'!F$23:F$43,MATCH(Hafnia!$E189,'FFA &amp; Spot Rates'!$C$23:$C$43,0))+$H189)*(1-INDEX(V$149:V$152,MATCH(Hafnia!$E189,$D$149:$D$152,0)))+INDEX(V$149:V$152,MATCH(Hafnia!$E189,$D$149:$D$152,0))*INDEX(V$154:V$157,MATCH(Hafnia!$E189,$D$154:$D$157,0)))*$N189</f>
        <v>44105.213643835617</v>
      </c>
      <c r="W189" s="185">
        <f>((INDEX('FFA &amp; Spot Rates'!G$23:G$43,MATCH(Hafnia!$E189,'FFA &amp; Spot Rates'!$C$23:$C$43,0))+$H189)*(1-INDEX(W$149:W$152,MATCH(Hafnia!$E189,$D$149:$D$152,0)))+INDEX(W$149:W$152,MATCH(Hafnia!$E189,$D$149:$D$152,0))*INDEX(W$154:W$157,MATCH(Hafnia!$E189,$D$154:$D$157,0)))*$N189</f>
        <v>36160.638356164382</v>
      </c>
      <c r="X189" s="185">
        <f>((INDEX('FFA &amp; Spot Rates'!H$23:H$43,MATCH(Hafnia!$E189,'FFA &amp; Spot Rates'!$C$23:$C$43,0))+$H189)*(1-INDEX(X$149:X$152,MATCH(Hafnia!$E189,$D$149:$D$152,0)))+INDEX(X$149:X$152,MATCH(Hafnia!$E189,$D$149:$D$152,0))*INDEX(X$154:X$157,MATCH(Hafnia!$E189,$D$154:$D$157,0)))*$N189</f>
        <v>51854.638356164382</v>
      </c>
      <c r="Y189" s="185">
        <f t="shared" si="40"/>
        <v>44717.372589041101</v>
      </c>
      <c r="Z189" s="185"/>
      <c r="AA189" s="185"/>
      <c r="AB189" s="185"/>
      <c r="AC189" s="185"/>
      <c r="AD189" s="185"/>
      <c r="AI189" s="21"/>
      <c r="AJ189" s="21"/>
    </row>
    <row r="190" spans="3:36" s="20" customFormat="1" outlineLevel="1" x14ac:dyDescent="0.2">
      <c r="C190" s="157" t="s">
        <v>901</v>
      </c>
      <c r="D190" s="157" t="s">
        <v>14</v>
      </c>
      <c r="E190" s="157" t="s">
        <v>14</v>
      </c>
      <c r="F190" s="158" t="s">
        <v>321</v>
      </c>
      <c r="G190" s="118">
        <v>1</v>
      </c>
      <c r="H190" s="152">
        <f>INDEX(Premiums!$G$27:$G$30,MATCH(Hafnia!E190,Premiums!$E$27:$E$30,0))*G190</f>
        <v>2276.6383561643834</v>
      </c>
      <c r="I190" s="186">
        <v>74634</v>
      </c>
      <c r="J190" s="159">
        <v>2016</v>
      </c>
      <c r="K190" s="63">
        <v>2024</v>
      </c>
      <c r="L190" s="56">
        <f t="shared" si="39"/>
        <v>8</v>
      </c>
      <c r="M190" s="1">
        <f t="shared" si="41"/>
        <v>43.298521212121216</v>
      </c>
      <c r="N190" s="184">
        <v>1</v>
      </c>
      <c r="O190" s="1"/>
      <c r="P190" s="4">
        <f>INDEX('Vessel Valuations'!F$34:F$50,MATCH($E190,'Vessel Valuations'!$C$34:$C$50,0))</f>
        <v>1.2463092463092584E-4</v>
      </c>
      <c r="Q190" s="4">
        <f>INDEX('Vessel Valuations'!G$34:G$50,MATCH($E190,'Vessel Valuations'!$C$34:$C$50,0))</f>
        <v>2.8032634032633983E-2</v>
      </c>
      <c r="R190" s="4">
        <f>INDEX('Vessel Valuations'!H$34:H$50,MATCH($E190,'Vessel Valuations'!$C$34:$C$50,0))</f>
        <v>-2.83950271950272</v>
      </c>
      <c r="S190" s="4">
        <f>INDEX('Vessel Valuations'!I$34:I$50,MATCH($E190,'Vessel Valuations'!$C$34:$C$50,0))</f>
        <v>64.156643356643372</v>
      </c>
      <c r="U190" s="202">
        <v>46749</v>
      </c>
      <c r="V190" s="185">
        <f>((INDEX('FFA &amp; Spot Rates'!F$23:F$43,MATCH(Hafnia!$E190,'FFA &amp; Spot Rates'!$C$23:$C$43,0))+$H190)*(1-INDEX(V$149:V$152,MATCH(Hafnia!$E190,$D$149:$D$152,0)))+INDEX(V$149:V$152,MATCH(Hafnia!$E190,$D$149:$D$152,0))*INDEX(V$154:V$157,MATCH(Hafnia!$E190,$D$154:$D$157,0)))*$N190</f>
        <v>44105.213643835617</v>
      </c>
      <c r="W190" s="185">
        <f>((INDEX('FFA &amp; Spot Rates'!G$23:G$43,MATCH(Hafnia!$E190,'FFA &amp; Spot Rates'!$C$23:$C$43,0))+$H190)*(1-INDEX(W$149:W$152,MATCH(Hafnia!$E190,$D$149:$D$152,0)))+INDEX(W$149:W$152,MATCH(Hafnia!$E190,$D$149:$D$152,0))*INDEX(W$154:W$157,MATCH(Hafnia!$E190,$D$154:$D$157,0)))*$N190</f>
        <v>36160.638356164382</v>
      </c>
      <c r="X190" s="185">
        <f>((INDEX('FFA &amp; Spot Rates'!H$23:H$43,MATCH(Hafnia!$E190,'FFA &amp; Spot Rates'!$C$23:$C$43,0))+$H190)*(1-INDEX(X$149:X$152,MATCH(Hafnia!$E190,$D$149:$D$152,0)))+INDEX(X$149:X$152,MATCH(Hafnia!$E190,$D$149:$D$152,0))*INDEX(X$154:X$157,MATCH(Hafnia!$E190,$D$154:$D$157,0)))*$N190</f>
        <v>51854.638356164382</v>
      </c>
      <c r="Y190" s="185">
        <f t="shared" si="40"/>
        <v>44717.372589041101</v>
      </c>
      <c r="Z190" s="185"/>
      <c r="AA190" s="185"/>
      <c r="AB190" s="185"/>
      <c r="AC190" s="185"/>
      <c r="AD190" s="185"/>
      <c r="AI190" s="21"/>
      <c r="AJ190" s="21"/>
    </row>
    <row r="191" spans="3:36" s="20" customFormat="1" outlineLevel="1" x14ac:dyDescent="0.2">
      <c r="C191" s="157" t="s">
        <v>902</v>
      </c>
      <c r="D191" s="157" t="s">
        <v>14</v>
      </c>
      <c r="E191" s="157" t="s">
        <v>14</v>
      </c>
      <c r="F191" s="158" t="s">
        <v>321</v>
      </c>
      <c r="G191" s="118">
        <v>1</v>
      </c>
      <c r="H191" s="152">
        <f>INDEX(Premiums!$G$27:$G$30,MATCH(Hafnia!E191,Premiums!$E$27:$E$30,0))*G191</f>
        <v>2276.6383561643834</v>
      </c>
      <c r="I191" s="186">
        <v>74613</v>
      </c>
      <c r="J191" s="159">
        <v>2016</v>
      </c>
      <c r="K191" s="63">
        <v>2024</v>
      </c>
      <c r="L191" s="56">
        <f t="shared" si="39"/>
        <v>8</v>
      </c>
      <c r="M191" s="1">
        <f t="shared" si="41"/>
        <v>43.298521212121216</v>
      </c>
      <c r="N191" s="184">
        <v>1</v>
      </c>
      <c r="O191" s="1"/>
      <c r="P191" s="4">
        <f>INDEX('Vessel Valuations'!F$34:F$50,MATCH($E191,'Vessel Valuations'!$C$34:$C$50,0))</f>
        <v>1.2463092463092584E-4</v>
      </c>
      <c r="Q191" s="4">
        <f>INDEX('Vessel Valuations'!G$34:G$50,MATCH($E191,'Vessel Valuations'!$C$34:$C$50,0))</f>
        <v>2.8032634032633983E-2</v>
      </c>
      <c r="R191" s="4">
        <f>INDEX('Vessel Valuations'!H$34:H$50,MATCH($E191,'Vessel Valuations'!$C$34:$C$50,0))</f>
        <v>-2.83950271950272</v>
      </c>
      <c r="S191" s="4">
        <f>INDEX('Vessel Valuations'!I$34:I$50,MATCH($E191,'Vessel Valuations'!$C$34:$C$50,0))</f>
        <v>64.156643356643372</v>
      </c>
      <c r="U191" s="202">
        <v>46749</v>
      </c>
      <c r="V191" s="185">
        <f>((INDEX('FFA &amp; Spot Rates'!F$23:F$43,MATCH(Hafnia!$E191,'FFA &amp; Spot Rates'!$C$23:$C$43,0))+$H191)*(1-INDEX(V$149:V$152,MATCH(Hafnia!$E191,$D$149:$D$152,0)))+INDEX(V$149:V$152,MATCH(Hafnia!$E191,$D$149:$D$152,0))*INDEX(V$154:V$157,MATCH(Hafnia!$E191,$D$154:$D$157,0)))*$N191</f>
        <v>44105.213643835617</v>
      </c>
      <c r="W191" s="185">
        <f>((INDEX('FFA &amp; Spot Rates'!G$23:G$43,MATCH(Hafnia!$E191,'FFA &amp; Spot Rates'!$C$23:$C$43,0))+$H191)*(1-INDEX(W$149:W$152,MATCH(Hafnia!$E191,$D$149:$D$152,0)))+INDEX(W$149:W$152,MATCH(Hafnia!$E191,$D$149:$D$152,0))*INDEX(W$154:W$157,MATCH(Hafnia!$E191,$D$154:$D$157,0)))*$N191</f>
        <v>36160.638356164382</v>
      </c>
      <c r="X191" s="185">
        <f>((INDEX('FFA &amp; Spot Rates'!H$23:H$43,MATCH(Hafnia!$E191,'FFA &amp; Spot Rates'!$C$23:$C$43,0))+$H191)*(1-INDEX(X$149:X$152,MATCH(Hafnia!$E191,$D$149:$D$152,0)))+INDEX(X$149:X$152,MATCH(Hafnia!$E191,$D$149:$D$152,0))*INDEX(X$154:X$157,MATCH(Hafnia!$E191,$D$154:$D$157,0)))*$N191</f>
        <v>51854.638356164382</v>
      </c>
      <c r="Y191" s="185">
        <f t="shared" si="40"/>
        <v>44717.372589041101</v>
      </c>
      <c r="Z191" s="185"/>
      <c r="AA191" s="185"/>
      <c r="AB191" s="185"/>
      <c r="AC191" s="185"/>
      <c r="AD191" s="185"/>
      <c r="AI191" s="21"/>
      <c r="AJ191" s="21"/>
    </row>
    <row r="192" spans="3:36" s="20" customFormat="1" outlineLevel="1" x14ac:dyDescent="0.2">
      <c r="C192" s="157" t="s">
        <v>903</v>
      </c>
      <c r="D192" s="157" t="s">
        <v>14</v>
      </c>
      <c r="E192" s="157" t="s">
        <v>14</v>
      </c>
      <c r="F192" s="158" t="s">
        <v>321</v>
      </c>
      <c r="G192" s="118">
        <v>1</v>
      </c>
      <c r="H192" s="152">
        <f>INDEX(Premiums!$G$27:$G$30,MATCH(Hafnia!E192,Premiums!$E$27:$E$30,0))*G192</f>
        <v>2276.6383561643834</v>
      </c>
      <c r="I192" s="186">
        <v>74547</v>
      </c>
      <c r="J192" s="159">
        <v>2015</v>
      </c>
      <c r="K192" s="63">
        <v>2024</v>
      </c>
      <c r="L192" s="56">
        <f t="shared" ref="L192:L223" si="42">+(K192-J192)</f>
        <v>9</v>
      </c>
      <c r="M192" s="1">
        <f t="shared" si="41"/>
        <v>40.962618181818186</v>
      </c>
      <c r="N192" s="184">
        <v>1</v>
      </c>
      <c r="O192" s="1"/>
      <c r="P192" s="4">
        <f>INDEX('Vessel Valuations'!F$34:F$50,MATCH($E192,'Vessel Valuations'!$C$34:$C$50,0))</f>
        <v>1.2463092463092584E-4</v>
      </c>
      <c r="Q192" s="4">
        <f>INDEX('Vessel Valuations'!G$34:G$50,MATCH($E192,'Vessel Valuations'!$C$34:$C$50,0))</f>
        <v>2.8032634032633983E-2</v>
      </c>
      <c r="R192" s="4">
        <f>INDEX('Vessel Valuations'!H$34:H$50,MATCH($E192,'Vessel Valuations'!$C$34:$C$50,0))</f>
        <v>-2.83950271950272</v>
      </c>
      <c r="S192" s="4">
        <f>INDEX('Vessel Valuations'!I$34:I$50,MATCH($E192,'Vessel Valuations'!$C$34:$C$50,0))</f>
        <v>64.156643356643372</v>
      </c>
      <c r="U192" s="202">
        <v>46749</v>
      </c>
      <c r="V192" s="185">
        <f>((INDEX('FFA &amp; Spot Rates'!F$23:F$43,MATCH(Hafnia!$E192,'FFA &amp; Spot Rates'!$C$23:$C$43,0))+$H192)*(1-INDEX(V$149:V$152,MATCH(Hafnia!$E192,$D$149:$D$152,0)))+INDEX(V$149:V$152,MATCH(Hafnia!$E192,$D$149:$D$152,0))*INDEX(V$154:V$157,MATCH(Hafnia!$E192,$D$154:$D$157,0)))*$N192</f>
        <v>44105.213643835617</v>
      </c>
      <c r="W192" s="185">
        <f>((INDEX('FFA &amp; Spot Rates'!G$23:G$43,MATCH(Hafnia!$E192,'FFA &amp; Spot Rates'!$C$23:$C$43,0))+$H192)*(1-INDEX(W$149:W$152,MATCH(Hafnia!$E192,$D$149:$D$152,0)))+INDEX(W$149:W$152,MATCH(Hafnia!$E192,$D$149:$D$152,0))*INDEX(W$154:W$157,MATCH(Hafnia!$E192,$D$154:$D$157,0)))*$N192</f>
        <v>36160.638356164382</v>
      </c>
      <c r="X192" s="185">
        <f>((INDEX('FFA &amp; Spot Rates'!H$23:H$43,MATCH(Hafnia!$E192,'FFA &amp; Spot Rates'!$C$23:$C$43,0))+$H192)*(1-INDEX(X$149:X$152,MATCH(Hafnia!$E192,$D$149:$D$152,0)))+INDEX(X$149:X$152,MATCH(Hafnia!$E192,$D$149:$D$152,0))*INDEX(X$154:X$157,MATCH(Hafnia!$E192,$D$154:$D$157,0)))*$N192</f>
        <v>51854.638356164382</v>
      </c>
      <c r="Y192" s="185">
        <f t="shared" si="40"/>
        <v>44717.372589041101</v>
      </c>
      <c r="Z192" s="185"/>
      <c r="AA192" s="185"/>
      <c r="AB192" s="185"/>
      <c r="AC192" s="185"/>
      <c r="AD192" s="185"/>
      <c r="AI192" s="21"/>
      <c r="AJ192" s="21"/>
    </row>
    <row r="193" spans="3:36" s="20" customFormat="1" outlineLevel="1" x14ac:dyDescent="0.2">
      <c r="C193" s="157" t="s">
        <v>904</v>
      </c>
      <c r="D193" s="157" t="s">
        <v>14</v>
      </c>
      <c r="E193" s="157" t="s">
        <v>14</v>
      </c>
      <c r="F193" s="158" t="s">
        <v>321</v>
      </c>
      <c r="G193" s="118">
        <v>0</v>
      </c>
      <c r="H193" s="152">
        <f>INDEX(Premiums!$G$27:$G$30,MATCH(Hafnia!E193,Premiums!$E$27:$E$30,0))*G193</f>
        <v>0</v>
      </c>
      <c r="I193" s="186">
        <v>74539</v>
      </c>
      <c r="J193" s="159">
        <v>2010</v>
      </c>
      <c r="K193" s="63">
        <v>2024</v>
      </c>
      <c r="L193" s="56">
        <f t="shared" si="42"/>
        <v>14</v>
      </c>
      <c r="M193" s="1">
        <f t="shared" si="41"/>
        <v>30.239988811188809</v>
      </c>
      <c r="N193" s="184">
        <v>1</v>
      </c>
      <c r="O193" s="1"/>
      <c r="P193" s="4">
        <f>INDEX('Vessel Valuations'!F$34:F$50,MATCH($E193,'Vessel Valuations'!$C$34:$C$50,0))</f>
        <v>1.2463092463092584E-4</v>
      </c>
      <c r="Q193" s="4">
        <f>INDEX('Vessel Valuations'!G$34:G$50,MATCH($E193,'Vessel Valuations'!$C$34:$C$50,0))</f>
        <v>2.8032634032633983E-2</v>
      </c>
      <c r="R193" s="4">
        <f>INDEX('Vessel Valuations'!H$34:H$50,MATCH($E193,'Vessel Valuations'!$C$34:$C$50,0))</f>
        <v>-2.83950271950272</v>
      </c>
      <c r="S193" s="4">
        <f>INDEX('Vessel Valuations'!I$34:I$50,MATCH($E193,'Vessel Valuations'!$C$34:$C$50,0))</f>
        <v>64.156643356643372</v>
      </c>
      <c r="U193" s="202">
        <v>46749</v>
      </c>
      <c r="V193" s="185">
        <f>((INDEX('FFA &amp; Spot Rates'!F$23:F$43,MATCH(Hafnia!$E193,'FFA &amp; Spot Rates'!$C$23:$C$43,0))+$H193)*(1-INDEX(V$149:V$152,MATCH(Hafnia!$E193,$D$149:$D$152,0)))+INDEX(V$149:V$152,MATCH(Hafnia!$E193,$D$149:$D$152,0))*INDEX(V$154:V$157,MATCH(Hafnia!$E193,$D$154:$D$157,0)))*$N193</f>
        <v>43057.96</v>
      </c>
      <c r="W193" s="185">
        <f>((INDEX('FFA &amp; Spot Rates'!G$23:G$43,MATCH(Hafnia!$E193,'FFA &amp; Spot Rates'!$C$23:$C$43,0))+$H193)*(1-INDEX(W$149:W$152,MATCH(Hafnia!$E193,$D$149:$D$152,0)))+INDEX(W$149:W$152,MATCH(Hafnia!$E193,$D$149:$D$152,0))*INDEX(W$154:W$157,MATCH(Hafnia!$E193,$D$154:$D$157,0)))*$N193</f>
        <v>33884</v>
      </c>
      <c r="X193" s="185">
        <f>((INDEX('FFA &amp; Spot Rates'!H$23:H$43,MATCH(Hafnia!$E193,'FFA &amp; Spot Rates'!$C$23:$C$43,0))+$H193)*(1-INDEX(X$149:X$152,MATCH(Hafnia!$E193,$D$149:$D$152,0)))+INDEX(X$149:X$152,MATCH(Hafnia!$E193,$D$149:$D$152,0))*INDEX(X$154:X$157,MATCH(Hafnia!$E193,$D$154:$D$157,0)))*$N193</f>
        <v>49578</v>
      </c>
      <c r="Y193" s="185">
        <f t="shared" si="40"/>
        <v>43317.24</v>
      </c>
      <c r="Z193" s="185"/>
      <c r="AA193" s="185"/>
      <c r="AB193" s="185"/>
      <c r="AC193" s="185"/>
      <c r="AD193" s="185"/>
      <c r="AI193" s="21"/>
      <c r="AJ193" s="21"/>
    </row>
    <row r="194" spans="3:36" s="20" customFormat="1" outlineLevel="1" x14ac:dyDescent="0.2">
      <c r="C194" s="157" t="s">
        <v>905</v>
      </c>
      <c r="D194" s="157" t="s">
        <v>14</v>
      </c>
      <c r="E194" s="157" t="s">
        <v>14</v>
      </c>
      <c r="F194" s="158" t="s">
        <v>321</v>
      </c>
      <c r="G194" s="118">
        <v>0</v>
      </c>
      <c r="H194" s="152">
        <f>INDEX(Premiums!$G$27:$G$30,MATCH(Hafnia!E194,Premiums!$E$27:$E$30,0))*G194</f>
        <v>0</v>
      </c>
      <c r="I194" s="186">
        <v>74539</v>
      </c>
      <c r="J194" s="159">
        <v>2010</v>
      </c>
      <c r="K194" s="63">
        <v>2024</v>
      </c>
      <c r="L194" s="56">
        <f t="shared" si="42"/>
        <v>14</v>
      </c>
      <c r="M194" s="1">
        <f t="shared" si="41"/>
        <v>30.239988811188809</v>
      </c>
      <c r="N194" s="184">
        <v>1</v>
      </c>
      <c r="O194" s="1"/>
      <c r="P194" s="4">
        <f>INDEX('Vessel Valuations'!F$34:F$50,MATCH($E194,'Vessel Valuations'!$C$34:$C$50,0))</f>
        <v>1.2463092463092584E-4</v>
      </c>
      <c r="Q194" s="4">
        <f>INDEX('Vessel Valuations'!G$34:G$50,MATCH($E194,'Vessel Valuations'!$C$34:$C$50,0))</f>
        <v>2.8032634032633983E-2</v>
      </c>
      <c r="R194" s="4">
        <f>INDEX('Vessel Valuations'!H$34:H$50,MATCH($E194,'Vessel Valuations'!$C$34:$C$50,0))</f>
        <v>-2.83950271950272</v>
      </c>
      <c r="S194" s="4">
        <f>INDEX('Vessel Valuations'!I$34:I$50,MATCH($E194,'Vessel Valuations'!$C$34:$C$50,0))</f>
        <v>64.156643356643372</v>
      </c>
      <c r="U194" s="202">
        <v>46749</v>
      </c>
      <c r="V194" s="185">
        <f>((INDEX('FFA &amp; Spot Rates'!F$23:F$43,MATCH(Hafnia!$E194,'FFA &amp; Spot Rates'!$C$23:$C$43,0))+$H194)*(1-INDEX(V$149:V$152,MATCH(Hafnia!$E194,$D$149:$D$152,0)))+INDEX(V$149:V$152,MATCH(Hafnia!$E194,$D$149:$D$152,0))*INDEX(V$154:V$157,MATCH(Hafnia!$E194,$D$154:$D$157,0)))*$N194</f>
        <v>43057.96</v>
      </c>
      <c r="W194" s="185">
        <f>((INDEX('FFA &amp; Spot Rates'!G$23:G$43,MATCH(Hafnia!$E194,'FFA &amp; Spot Rates'!$C$23:$C$43,0))+$H194)*(1-INDEX(W$149:W$152,MATCH(Hafnia!$E194,$D$149:$D$152,0)))+INDEX(W$149:W$152,MATCH(Hafnia!$E194,$D$149:$D$152,0))*INDEX(W$154:W$157,MATCH(Hafnia!$E194,$D$154:$D$157,0)))*$N194</f>
        <v>33884</v>
      </c>
      <c r="X194" s="185">
        <f>((INDEX('FFA &amp; Spot Rates'!H$23:H$43,MATCH(Hafnia!$E194,'FFA &amp; Spot Rates'!$C$23:$C$43,0))+$H194)*(1-INDEX(X$149:X$152,MATCH(Hafnia!$E194,$D$149:$D$152,0)))+INDEX(X$149:X$152,MATCH(Hafnia!$E194,$D$149:$D$152,0))*INDEX(X$154:X$157,MATCH(Hafnia!$E194,$D$154:$D$157,0)))*$N194</f>
        <v>49578</v>
      </c>
      <c r="Y194" s="185">
        <f t="shared" si="40"/>
        <v>43317.24</v>
      </c>
      <c r="Z194" s="185"/>
      <c r="AA194" s="185"/>
      <c r="AB194" s="185"/>
      <c r="AC194" s="185"/>
      <c r="AD194" s="185"/>
      <c r="AI194" s="21"/>
      <c r="AJ194" s="21"/>
    </row>
    <row r="195" spans="3:36" outlineLevel="1" x14ac:dyDescent="0.2">
      <c r="C195" s="157" t="s">
        <v>906</v>
      </c>
      <c r="D195" s="157" t="s">
        <v>14</v>
      </c>
      <c r="E195" s="157" t="s">
        <v>14</v>
      </c>
      <c r="F195" s="158" t="s">
        <v>321</v>
      </c>
      <c r="G195" s="118">
        <v>0</v>
      </c>
      <c r="H195" s="152">
        <f>INDEX(Premiums!$G$27:$G$30,MATCH(Hafnia!E195,Premiums!$E$27:$E$30,0))*G195</f>
        <v>0</v>
      </c>
      <c r="I195" s="186">
        <v>74490</v>
      </c>
      <c r="J195" s="159">
        <v>2010</v>
      </c>
      <c r="K195" s="63">
        <v>2024</v>
      </c>
      <c r="L195" s="56">
        <f t="shared" si="42"/>
        <v>14</v>
      </c>
      <c r="M195" s="1">
        <f t="shared" si="41"/>
        <v>30.239988811188809</v>
      </c>
      <c r="N195" s="184">
        <v>1</v>
      </c>
      <c r="P195" s="4">
        <f>INDEX('Vessel Valuations'!F$34:F$50,MATCH($E195,'Vessel Valuations'!$C$34:$C$50,0))</f>
        <v>1.2463092463092584E-4</v>
      </c>
      <c r="Q195" s="4">
        <f>INDEX('Vessel Valuations'!G$34:G$50,MATCH($E195,'Vessel Valuations'!$C$34:$C$50,0))</f>
        <v>2.8032634032633983E-2</v>
      </c>
      <c r="R195" s="4">
        <f>INDEX('Vessel Valuations'!H$34:H$50,MATCH($E195,'Vessel Valuations'!$C$34:$C$50,0))</f>
        <v>-2.83950271950272</v>
      </c>
      <c r="S195" s="4">
        <f>INDEX('Vessel Valuations'!I$34:I$50,MATCH($E195,'Vessel Valuations'!$C$34:$C$50,0))</f>
        <v>64.156643356643372</v>
      </c>
      <c r="U195" s="202">
        <v>46749</v>
      </c>
      <c r="V195" s="185">
        <f>((INDEX('FFA &amp; Spot Rates'!F$23:F$43,MATCH(Hafnia!$E195,'FFA &amp; Spot Rates'!$C$23:$C$43,0))+$H195)*(1-INDEX(V$149:V$152,MATCH(Hafnia!$E195,$D$149:$D$152,0)))+INDEX(V$149:V$152,MATCH(Hafnia!$E195,$D$149:$D$152,0))*INDEX(V$154:V$157,MATCH(Hafnia!$E195,$D$154:$D$157,0)))*$N195</f>
        <v>43057.96</v>
      </c>
      <c r="W195" s="185">
        <f>((INDEX('FFA &amp; Spot Rates'!G$23:G$43,MATCH(Hafnia!$E195,'FFA &amp; Spot Rates'!$C$23:$C$43,0))+$H195)*(1-INDEX(W$149:W$152,MATCH(Hafnia!$E195,$D$149:$D$152,0)))+INDEX(W$149:W$152,MATCH(Hafnia!$E195,$D$149:$D$152,0))*INDEX(W$154:W$157,MATCH(Hafnia!$E195,$D$154:$D$157,0)))*$N195</f>
        <v>33884</v>
      </c>
      <c r="X195" s="185">
        <f>((INDEX('FFA &amp; Spot Rates'!H$23:H$43,MATCH(Hafnia!$E195,'FFA &amp; Spot Rates'!$C$23:$C$43,0))+$H195)*(1-INDEX(X$149:X$152,MATCH(Hafnia!$E195,$D$149:$D$152,0)))+INDEX(X$149:X$152,MATCH(Hafnia!$E195,$D$149:$D$152,0))*INDEX(X$154:X$157,MATCH(Hafnia!$E195,$D$154:$D$157,0)))*$N195</f>
        <v>49578</v>
      </c>
      <c r="Y195" s="185">
        <f t="shared" si="40"/>
        <v>43317.24</v>
      </c>
      <c r="Z195" s="185"/>
      <c r="AA195" s="185"/>
      <c r="AB195" s="185"/>
      <c r="AC195" s="185"/>
      <c r="AD195" s="185"/>
    </row>
    <row r="196" spans="3:36" outlineLevel="1" x14ac:dyDescent="0.2">
      <c r="C196" s="157" t="s">
        <v>907</v>
      </c>
      <c r="D196" s="157" t="s">
        <v>14</v>
      </c>
      <c r="E196" s="157" t="s">
        <v>14</v>
      </c>
      <c r="F196" s="158" t="s">
        <v>321</v>
      </c>
      <c r="G196" s="118">
        <v>1</v>
      </c>
      <c r="H196" s="152">
        <f>INDEX(Premiums!$G$27:$G$30,MATCH(Hafnia!E196,Premiums!$E$27:$E$30,0))*G196</f>
        <v>2276.6383561643834</v>
      </c>
      <c r="I196" s="186">
        <v>74189</v>
      </c>
      <c r="J196" s="159">
        <v>2017</v>
      </c>
      <c r="K196" s="63">
        <v>2024</v>
      </c>
      <c r="L196" s="56">
        <f t="shared" si="42"/>
        <v>7</v>
      </c>
      <c r="M196" s="1">
        <f t="shared" si="41"/>
        <v>45.696471794871798</v>
      </c>
      <c r="N196" s="184">
        <v>1</v>
      </c>
      <c r="P196" s="4">
        <f>INDEX('Vessel Valuations'!F$34:F$50,MATCH($E196,'Vessel Valuations'!$C$34:$C$50,0))</f>
        <v>1.2463092463092584E-4</v>
      </c>
      <c r="Q196" s="4">
        <f>INDEX('Vessel Valuations'!G$34:G$50,MATCH($E196,'Vessel Valuations'!$C$34:$C$50,0))</f>
        <v>2.8032634032633983E-2</v>
      </c>
      <c r="R196" s="4">
        <f>INDEX('Vessel Valuations'!H$34:H$50,MATCH($E196,'Vessel Valuations'!$C$34:$C$50,0))</f>
        <v>-2.83950271950272</v>
      </c>
      <c r="S196" s="4">
        <f>INDEX('Vessel Valuations'!I$34:I$50,MATCH($E196,'Vessel Valuations'!$C$34:$C$50,0))</f>
        <v>64.156643356643372</v>
      </c>
      <c r="U196" s="202">
        <v>46749</v>
      </c>
      <c r="V196" s="185">
        <f>((INDEX('FFA &amp; Spot Rates'!F$23:F$43,MATCH(Hafnia!$E196,'FFA &amp; Spot Rates'!$C$23:$C$43,0))+$H196)*(1-INDEX(V$149:V$152,MATCH(Hafnia!$E196,$D$149:$D$152,0)))+INDEX(V$149:V$152,MATCH(Hafnia!$E196,$D$149:$D$152,0))*INDEX(V$154:V$157,MATCH(Hafnia!$E196,$D$154:$D$157,0)))*$N196</f>
        <v>44105.213643835617</v>
      </c>
      <c r="W196" s="185">
        <f>((INDEX('FFA &amp; Spot Rates'!G$23:G$43,MATCH(Hafnia!$E196,'FFA &amp; Spot Rates'!$C$23:$C$43,0))+$H196)*(1-INDEX(W$149:W$152,MATCH(Hafnia!$E196,$D$149:$D$152,0)))+INDEX(W$149:W$152,MATCH(Hafnia!$E196,$D$149:$D$152,0))*INDEX(W$154:W$157,MATCH(Hafnia!$E196,$D$154:$D$157,0)))*$N196</f>
        <v>36160.638356164382</v>
      </c>
      <c r="X196" s="185">
        <f>((INDEX('FFA &amp; Spot Rates'!H$23:H$43,MATCH(Hafnia!$E196,'FFA &amp; Spot Rates'!$C$23:$C$43,0))+$H196)*(1-INDEX(X$149:X$152,MATCH(Hafnia!$E196,$D$149:$D$152,0)))+INDEX(X$149:X$152,MATCH(Hafnia!$E196,$D$149:$D$152,0))*INDEX(X$154:X$157,MATCH(Hafnia!$E196,$D$154:$D$157,0)))*$N196</f>
        <v>51854.638356164382</v>
      </c>
      <c r="Y196" s="185">
        <f t="shared" si="40"/>
        <v>44717.372589041101</v>
      </c>
      <c r="Z196" s="185"/>
      <c r="AA196" s="185"/>
      <c r="AB196" s="185"/>
      <c r="AC196" s="185"/>
      <c r="AD196" s="185"/>
    </row>
    <row r="197" spans="3:36" outlineLevel="1" x14ac:dyDescent="0.2">
      <c r="C197" s="157" t="s">
        <v>908</v>
      </c>
      <c r="D197" s="157" t="s">
        <v>14</v>
      </c>
      <c r="E197" s="157" t="s">
        <v>14</v>
      </c>
      <c r="F197" s="158" t="s">
        <v>321</v>
      </c>
      <c r="G197" s="118">
        <v>1</v>
      </c>
      <c r="H197" s="152">
        <f>INDEX(Premiums!$G$27:$G$30,MATCH(Hafnia!E197,Premiums!$E$27:$E$30,0))*G197</f>
        <v>2276.6383561643834</v>
      </c>
      <c r="I197" s="186">
        <v>74189</v>
      </c>
      <c r="J197" s="159">
        <v>2017</v>
      </c>
      <c r="K197" s="63">
        <v>2024</v>
      </c>
      <c r="L197" s="56">
        <f t="shared" si="42"/>
        <v>7</v>
      </c>
      <c r="M197" s="1">
        <f t="shared" si="41"/>
        <v>45.696471794871798</v>
      </c>
      <c r="N197" s="184">
        <v>1</v>
      </c>
      <c r="P197" s="4">
        <f>INDEX('Vessel Valuations'!F$34:F$50,MATCH($E197,'Vessel Valuations'!$C$34:$C$50,0))</f>
        <v>1.2463092463092584E-4</v>
      </c>
      <c r="Q197" s="4">
        <f>INDEX('Vessel Valuations'!G$34:G$50,MATCH($E197,'Vessel Valuations'!$C$34:$C$50,0))</f>
        <v>2.8032634032633983E-2</v>
      </c>
      <c r="R197" s="4">
        <f>INDEX('Vessel Valuations'!H$34:H$50,MATCH($E197,'Vessel Valuations'!$C$34:$C$50,0))</f>
        <v>-2.83950271950272</v>
      </c>
      <c r="S197" s="4">
        <f>INDEX('Vessel Valuations'!I$34:I$50,MATCH($E197,'Vessel Valuations'!$C$34:$C$50,0))</f>
        <v>64.156643356643372</v>
      </c>
      <c r="U197" s="202">
        <v>46749</v>
      </c>
      <c r="V197" s="185">
        <f>((INDEX('FFA &amp; Spot Rates'!F$23:F$43,MATCH(Hafnia!$E197,'FFA &amp; Spot Rates'!$C$23:$C$43,0))+$H197)*(1-INDEX(V$149:V$152,MATCH(Hafnia!$E197,$D$149:$D$152,0)))+INDEX(V$149:V$152,MATCH(Hafnia!$E197,$D$149:$D$152,0))*INDEX(V$154:V$157,MATCH(Hafnia!$E197,$D$154:$D$157,0)))*$N197</f>
        <v>44105.213643835617</v>
      </c>
      <c r="W197" s="185">
        <f>((INDEX('FFA &amp; Spot Rates'!G$23:G$43,MATCH(Hafnia!$E197,'FFA &amp; Spot Rates'!$C$23:$C$43,0))+$H197)*(1-INDEX(W$149:W$152,MATCH(Hafnia!$E197,$D$149:$D$152,0)))+INDEX(W$149:W$152,MATCH(Hafnia!$E197,$D$149:$D$152,0))*INDEX(W$154:W$157,MATCH(Hafnia!$E197,$D$154:$D$157,0)))*$N197</f>
        <v>36160.638356164382</v>
      </c>
      <c r="X197" s="185">
        <f>((INDEX('FFA &amp; Spot Rates'!H$23:H$43,MATCH(Hafnia!$E197,'FFA &amp; Spot Rates'!$C$23:$C$43,0))+$H197)*(1-INDEX(X$149:X$152,MATCH(Hafnia!$E197,$D$149:$D$152,0)))+INDEX(X$149:X$152,MATCH(Hafnia!$E197,$D$149:$D$152,0))*INDEX(X$154:X$157,MATCH(Hafnia!$E197,$D$154:$D$157,0)))*$N197</f>
        <v>51854.638356164382</v>
      </c>
      <c r="Y197" s="185">
        <f t="shared" si="40"/>
        <v>44717.372589041101</v>
      </c>
      <c r="Z197" s="185"/>
      <c r="AA197" s="185"/>
      <c r="AB197" s="185"/>
      <c r="AC197" s="185"/>
      <c r="AD197" s="185"/>
    </row>
    <row r="198" spans="3:36" outlineLevel="1" x14ac:dyDescent="0.2">
      <c r="C198" s="157" t="s">
        <v>909</v>
      </c>
      <c r="D198" s="157" t="s">
        <v>14</v>
      </c>
      <c r="E198" s="157" t="s">
        <v>14</v>
      </c>
      <c r="F198" s="158" t="s">
        <v>321</v>
      </c>
      <c r="G198" s="118">
        <v>1</v>
      </c>
      <c r="H198" s="152">
        <f>INDEX(Premiums!$G$27:$G$30,MATCH(Hafnia!E198,Premiums!$E$27:$E$30,0))*G198</f>
        <v>2276.6383561643834</v>
      </c>
      <c r="I198" s="186">
        <v>74189</v>
      </c>
      <c r="J198" s="159">
        <v>2017</v>
      </c>
      <c r="K198" s="63">
        <v>2024</v>
      </c>
      <c r="L198" s="56">
        <f t="shared" si="42"/>
        <v>7</v>
      </c>
      <c r="M198" s="1">
        <f t="shared" si="41"/>
        <v>45.696471794871798</v>
      </c>
      <c r="N198" s="184">
        <v>1</v>
      </c>
      <c r="P198" s="4">
        <f>INDEX('Vessel Valuations'!F$34:F$50,MATCH($E198,'Vessel Valuations'!$C$34:$C$50,0))</f>
        <v>1.2463092463092584E-4</v>
      </c>
      <c r="Q198" s="4">
        <f>INDEX('Vessel Valuations'!G$34:G$50,MATCH($E198,'Vessel Valuations'!$C$34:$C$50,0))</f>
        <v>2.8032634032633983E-2</v>
      </c>
      <c r="R198" s="4">
        <f>INDEX('Vessel Valuations'!H$34:H$50,MATCH($E198,'Vessel Valuations'!$C$34:$C$50,0))</f>
        <v>-2.83950271950272</v>
      </c>
      <c r="S198" s="4">
        <f>INDEX('Vessel Valuations'!I$34:I$50,MATCH($E198,'Vessel Valuations'!$C$34:$C$50,0))</f>
        <v>64.156643356643372</v>
      </c>
      <c r="U198" s="202">
        <v>46749</v>
      </c>
      <c r="V198" s="185">
        <f>((INDEX('FFA &amp; Spot Rates'!F$23:F$43,MATCH(Hafnia!$E198,'FFA &amp; Spot Rates'!$C$23:$C$43,0))+$H198)*(1-INDEX(V$149:V$152,MATCH(Hafnia!$E198,$D$149:$D$152,0)))+INDEX(V$149:V$152,MATCH(Hafnia!$E198,$D$149:$D$152,0))*INDEX(V$154:V$157,MATCH(Hafnia!$E198,$D$154:$D$157,0)))*$N198</f>
        <v>44105.213643835617</v>
      </c>
      <c r="W198" s="185">
        <f>((INDEX('FFA &amp; Spot Rates'!G$23:G$43,MATCH(Hafnia!$E198,'FFA &amp; Spot Rates'!$C$23:$C$43,0))+$H198)*(1-INDEX(W$149:W$152,MATCH(Hafnia!$E198,$D$149:$D$152,0)))+INDEX(W$149:W$152,MATCH(Hafnia!$E198,$D$149:$D$152,0))*INDEX(W$154:W$157,MATCH(Hafnia!$E198,$D$154:$D$157,0)))*$N198</f>
        <v>36160.638356164382</v>
      </c>
      <c r="X198" s="185">
        <f>((INDEX('FFA &amp; Spot Rates'!H$23:H$43,MATCH(Hafnia!$E198,'FFA &amp; Spot Rates'!$C$23:$C$43,0))+$H198)*(1-INDEX(X$149:X$152,MATCH(Hafnia!$E198,$D$149:$D$152,0)))+INDEX(X$149:X$152,MATCH(Hafnia!$E198,$D$149:$D$152,0))*INDEX(X$154:X$157,MATCH(Hafnia!$E198,$D$154:$D$157,0)))*$N198</f>
        <v>51854.638356164382</v>
      </c>
      <c r="Y198" s="185">
        <f t="shared" si="40"/>
        <v>44717.372589041101</v>
      </c>
      <c r="Z198" s="185"/>
      <c r="AA198" s="185"/>
      <c r="AB198" s="185"/>
      <c r="AC198" s="185"/>
      <c r="AD198" s="185"/>
    </row>
    <row r="199" spans="3:36" s="20" customFormat="1" outlineLevel="1" x14ac:dyDescent="0.2">
      <c r="C199" s="157" t="s">
        <v>910</v>
      </c>
      <c r="D199" s="157" t="s">
        <v>14</v>
      </c>
      <c r="E199" s="157" t="s">
        <v>14</v>
      </c>
      <c r="F199" s="158" t="s">
        <v>321</v>
      </c>
      <c r="G199" s="118">
        <v>1</v>
      </c>
      <c r="H199" s="152">
        <f>INDEX(Premiums!$G$27:$G$30,MATCH(Hafnia!E199,Premiums!$E$27:$E$30,0))*G199</f>
        <v>2276.6383561643834</v>
      </c>
      <c r="I199" s="186">
        <v>74189</v>
      </c>
      <c r="J199" s="159">
        <v>2017</v>
      </c>
      <c r="K199" s="63">
        <v>2024</v>
      </c>
      <c r="L199" s="56">
        <f t="shared" si="42"/>
        <v>7</v>
      </c>
      <c r="M199" s="1">
        <f t="shared" si="41"/>
        <v>45.696471794871798</v>
      </c>
      <c r="N199" s="184">
        <v>1</v>
      </c>
      <c r="P199" s="4">
        <f>INDEX('Vessel Valuations'!F$34:F$50,MATCH($E199,'Vessel Valuations'!$C$34:$C$50,0))</f>
        <v>1.2463092463092584E-4</v>
      </c>
      <c r="Q199" s="4">
        <f>INDEX('Vessel Valuations'!G$34:G$50,MATCH($E199,'Vessel Valuations'!$C$34:$C$50,0))</f>
        <v>2.8032634032633983E-2</v>
      </c>
      <c r="R199" s="4">
        <f>INDEX('Vessel Valuations'!H$34:H$50,MATCH($E199,'Vessel Valuations'!$C$34:$C$50,0))</f>
        <v>-2.83950271950272</v>
      </c>
      <c r="S199" s="4">
        <f>INDEX('Vessel Valuations'!I$34:I$50,MATCH($E199,'Vessel Valuations'!$C$34:$C$50,0))</f>
        <v>64.156643356643372</v>
      </c>
      <c r="U199" s="202">
        <v>46749</v>
      </c>
      <c r="V199" s="185">
        <f>((INDEX('FFA &amp; Spot Rates'!F$23:F$43,MATCH(Hafnia!$E199,'FFA &amp; Spot Rates'!$C$23:$C$43,0))+$H199)*(1-INDEX(V$149:V$152,MATCH(Hafnia!$E199,$D$149:$D$152,0)))+INDEX(V$149:V$152,MATCH(Hafnia!$E199,$D$149:$D$152,0))*INDEX(V$154:V$157,MATCH(Hafnia!$E199,$D$154:$D$157,0)))*$N199</f>
        <v>44105.213643835617</v>
      </c>
      <c r="W199" s="185">
        <f>((INDEX('FFA &amp; Spot Rates'!G$23:G$43,MATCH(Hafnia!$E199,'FFA &amp; Spot Rates'!$C$23:$C$43,0))+$H199)*(1-INDEX(W$149:W$152,MATCH(Hafnia!$E199,$D$149:$D$152,0)))+INDEX(W$149:W$152,MATCH(Hafnia!$E199,$D$149:$D$152,0))*INDEX(W$154:W$157,MATCH(Hafnia!$E199,$D$154:$D$157,0)))*$N199</f>
        <v>36160.638356164382</v>
      </c>
      <c r="X199" s="185">
        <f>((INDEX('FFA &amp; Spot Rates'!H$23:H$43,MATCH(Hafnia!$E199,'FFA &amp; Spot Rates'!$C$23:$C$43,0))+$H199)*(1-INDEX(X$149:X$152,MATCH(Hafnia!$E199,$D$149:$D$152,0)))+INDEX(X$149:X$152,MATCH(Hafnia!$E199,$D$149:$D$152,0))*INDEX(X$154:X$157,MATCH(Hafnia!$E199,$D$154:$D$157,0)))*$N199</f>
        <v>51854.638356164382</v>
      </c>
      <c r="Y199" s="185">
        <f t="shared" si="40"/>
        <v>44717.372589041101</v>
      </c>
      <c r="Z199" s="185"/>
      <c r="AA199" s="185"/>
      <c r="AB199" s="185"/>
      <c r="AC199" s="185"/>
      <c r="AD199" s="185"/>
      <c r="AI199" s="21"/>
      <c r="AJ199" s="21"/>
    </row>
    <row r="200" spans="3:36" s="20" customFormat="1" outlineLevel="1" x14ac:dyDescent="0.2">
      <c r="C200" s="157" t="s">
        <v>911</v>
      </c>
      <c r="D200" s="157" t="s">
        <v>14</v>
      </c>
      <c r="E200" s="157" t="s">
        <v>14</v>
      </c>
      <c r="F200" s="158" t="s">
        <v>321</v>
      </c>
      <c r="G200" s="118">
        <v>1</v>
      </c>
      <c r="H200" s="152">
        <f>INDEX(Premiums!$G$27:$G$30,MATCH(Hafnia!E200,Premiums!$E$27:$E$30,0))*G200</f>
        <v>2276.6383561643834</v>
      </c>
      <c r="I200" s="186">
        <v>69993</v>
      </c>
      <c r="J200" s="159">
        <v>2016</v>
      </c>
      <c r="K200" s="63">
        <v>2024</v>
      </c>
      <c r="L200" s="56">
        <f t="shared" si="42"/>
        <v>8</v>
      </c>
      <c r="M200" s="1">
        <f t="shared" si="41"/>
        <v>43.298521212121216</v>
      </c>
      <c r="N200" s="184">
        <v>1</v>
      </c>
      <c r="P200" s="4">
        <f>INDEX('Vessel Valuations'!F$34:F$50,MATCH($E200,'Vessel Valuations'!$C$34:$C$50,0))</f>
        <v>1.2463092463092584E-4</v>
      </c>
      <c r="Q200" s="4">
        <f>INDEX('Vessel Valuations'!G$34:G$50,MATCH($E200,'Vessel Valuations'!$C$34:$C$50,0))</f>
        <v>2.8032634032633983E-2</v>
      </c>
      <c r="R200" s="4">
        <f>INDEX('Vessel Valuations'!H$34:H$50,MATCH($E200,'Vessel Valuations'!$C$34:$C$50,0))</f>
        <v>-2.83950271950272</v>
      </c>
      <c r="S200" s="4">
        <f>INDEX('Vessel Valuations'!I$34:I$50,MATCH($E200,'Vessel Valuations'!$C$34:$C$50,0))</f>
        <v>64.156643356643372</v>
      </c>
      <c r="U200" s="202">
        <v>46749</v>
      </c>
      <c r="V200" s="185">
        <f>((INDEX('FFA &amp; Spot Rates'!F$23:F$43,MATCH(Hafnia!$E200,'FFA &amp; Spot Rates'!$C$23:$C$43,0))+$H200)*(1-INDEX(V$149:V$152,MATCH(Hafnia!$E200,$D$149:$D$152,0)))+INDEX(V$149:V$152,MATCH(Hafnia!$E200,$D$149:$D$152,0))*INDEX(V$154:V$157,MATCH(Hafnia!$E200,$D$154:$D$157,0)))*$N200</f>
        <v>44105.213643835617</v>
      </c>
      <c r="W200" s="185">
        <f>((INDEX('FFA &amp; Spot Rates'!G$23:G$43,MATCH(Hafnia!$E200,'FFA &amp; Spot Rates'!$C$23:$C$43,0))+$H200)*(1-INDEX(W$149:W$152,MATCH(Hafnia!$E200,$D$149:$D$152,0)))+INDEX(W$149:W$152,MATCH(Hafnia!$E200,$D$149:$D$152,0))*INDEX(W$154:W$157,MATCH(Hafnia!$E200,$D$154:$D$157,0)))*$N200</f>
        <v>36160.638356164382</v>
      </c>
      <c r="X200" s="185">
        <f>((INDEX('FFA &amp; Spot Rates'!H$23:H$43,MATCH(Hafnia!$E200,'FFA &amp; Spot Rates'!$C$23:$C$43,0))+$H200)*(1-INDEX(X$149:X$152,MATCH(Hafnia!$E200,$D$149:$D$152,0)))+INDEX(X$149:X$152,MATCH(Hafnia!$E200,$D$149:$D$152,0))*INDEX(X$154:X$157,MATCH(Hafnia!$E200,$D$154:$D$157,0)))*$N200</f>
        <v>51854.638356164382</v>
      </c>
      <c r="Y200" s="185">
        <f t="shared" si="40"/>
        <v>44717.372589041101</v>
      </c>
      <c r="Z200" s="185"/>
      <c r="AA200" s="185"/>
      <c r="AB200" s="185"/>
      <c r="AC200" s="185"/>
      <c r="AD200" s="185"/>
      <c r="AI200" s="21"/>
      <c r="AJ200" s="21"/>
    </row>
    <row r="201" spans="3:36" s="20" customFormat="1" outlineLevel="1" x14ac:dyDescent="0.2">
      <c r="C201" s="157" t="s">
        <v>912</v>
      </c>
      <c r="D201" s="157" t="s">
        <v>15</v>
      </c>
      <c r="E201" s="157" t="s">
        <v>15</v>
      </c>
      <c r="F201" s="158" t="s">
        <v>321</v>
      </c>
      <c r="G201" s="118">
        <v>1</v>
      </c>
      <c r="H201" s="152">
        <f>INDEX(Premiums!$G$27:$G$30,MATCH(Hafnia!E201,Premiums!$E$27:$E$30,0))*G201</f>
        <v>1313.4452054794519</v>
      </c>
      <c r="I201" s="186">
        <v>49999</v>
      </c>
      <c r="J201" s="159">
        <v>2015</v>
      </c>
      <c r="K201" s="63">
        <v>2024</v>
      </c>
      <c r="L201" s="56">
        <f t="shared" si="42"/>
        <v>9</v>
      </c>
      <c r="M201" s="1">
        <f t="shared" si="41"/>
        <v>35.355636363636357</v>
      </c>
      <c r="N201" s="184">
        <v>1</v>
      </c>
      <c r="P201" s="4">
        <f>INDEX('Vessel Valuations'!F$34:F$50,MATCH($E201,'Vessel Valuations'!$C$34:$C$50,0))</f>
        <v>7.8477078477077959E-5</v>
      </c>
      <c r="Q201" s="4">
        <f>INDEX('Vessel Valuations'!G$34:G$50,MATCH($E201,'Vessel Valuations'!$C$34:$C$50,0))</f>
        <v>2.6864801864801918E-2</v>
      </c>
      <c r="R201" s="4">
        <f>INDEX('Vessel Valuations'!H$34:H$50,MATCH($E201,'Vessel Valuations'!$C$34:$C$50,0))</f>
        <v>-2.5062160062160075</v>
      </c>
      <c r="S201" s="4">
        <f>INDEX('Vessel Valuations'!I$34:I$50,MATCH($E201,'Vessel Valuations'!$C$34:$C$50,0))</f>
        <v>55.67832167832168</v>
      </c>
      <c r="U201" s="202">
        <v>32888</v>
      </c>
      <c r="V201" s="185">
        <f>((INDEX('FFA &amp; Spot Rates'!F$23:F$43,MATCH(Hafnia!$E201,'FFA &amp; Spot Rates'!$C$23:$C$43,0))+$H201)*(1-INDEX(V$149:V$152,MATCH(Hafnia!$E201,$D$149:$D$152,0)))+INDEX(V$149:V$152,MATCH(Hafnia!$E201,$D$149:$D$152,0))*INDEX(V$154:V$157,MATCH(Hafnia!$E201,$D$154:$D$157,0)))*$N201</f>
        <v>33506.556917808222</v>
      </c>
      <c r="W201" s="185">
        <f>((INDEX('FFA &amp; Spot Rates'!G$23:G$43,MATCH(Hafnia!$E201,'FFA &amp; Spot Rates'!$C$23:$C$43,0))+$H201)*(1-INDEX(W$149:W$152,MATCH(Hafnia!$E201,$D$149:$D$152,0)))+INDEX(W$149:W$152,MATCH(Hafnia!$E201,$D$149:$D$152,0))*INDEX(W$154:W$157,MATCH(Hafnia!$E201,$D$154:$D$157,0)))*$N201</f>
        <v>27871.445205479453</v>
      </c>
      <c r="X201" s="185">
        <f>((INDEX('FFA &amp; Spot Rates'!H$23:H$43,MATCH(Hafnia!$E201,'FFA &amp; Spot Rates'!$C$23:$C$43,0))+$H201)*(1-INDEX(X$149:X$152,MATCH(Hafnia!$E201,$D$149:$D$152,0)))+INDEX(X$149:X$152,MATCH(Hafnia!$E201,$D$149:$D$152,0))*INDEX(X$154:X$157,MATCH(Hafnia!$E201,$D$154:$D$157,0)))*$N201</f>
        <v>39053.445205479453</v>
      </c>
      <c r="Y201" s="185">
        <f t="shared" si="40"/>
        <v>33329.861832191782</v>
      </c>
      <c r="Z201" s="185"/>
      <c r="AA201" s="185"/>
      <c r="AB201" s="185"/>
      <c r="AC201" s="185"/>
      <c r="AD201" s="185"/>
      <c r="AI201" s="21"/>
      <c r="AJ201" s="21"/>
    </row>
    <row r="202" spans="3:36" s="20" customFormat="1" outlineLevel="1" x14ac:dyDescent="0.2">
      <c r="C202" s="157" t="s">
        <v>913</v>
      </c>
      <c r="D202" s="157" t="s">
        <v>15</v>
      </c>
      <c r="E202" s="157" t="s">
        <v>15</v>
      </c>
      <c r="F202" s="158" t="s">
        <v>321</v>
      </c>
      <c r="G202" s="118">
        <v>0</v>
      </c>
      <c r="H202" s="152">
        <f>INDEX(Premiums!$G$27:$G$30,MATCH(Hafnia!E202,Premiums!$E$27:$E$30,0))*G202</f>
        <v>0</v>
      </c>
      <c r="I202" s="186">
        <v>49999</v>
      </c>
      <c r="J202" s="159">
        <v>2014</v>
      </c>
      <c r="K202" s="63">
        <v>2024</v>
      </c>
      <c r="L202" s="56">
        <f t="shared" si="42"/>
        <v>10</v>
      </c>
      <c r="M202" s="1">
        <f t="shared" si="41"/>
        <v>33.38111888111888</v>
      </c>
      <c r="N202" s="184">
        <v>1</v>
      </c>
      <c r="P202" s="4">
        <f>INDEX('Vessel Valuations'!F$34:F$50,MATCH($E202,'Vessel Valuations'!$C$34:$C$50,0))</f>
        <v>7.8477078477077959E-5</v>
      </c>
      <c r="Q202" s="4">
        <f>INDEX('Vessel Valuations'!G$34:G$50,MATCH($E202,'Vessel Valuations'!$C$34:$C$50,0))</f>
        <v>2.6864801864801918E-2</v>
      </c>
      <c r="R202" s="4">
        <f>INDEX('Vessel Valuations'!H$34:H$50,MATCH($E202,'Vessel Valuations'!$C$34:$C$50,0))</f>
        <v>-2.5062160062160075</v>
      </c>
      <c r="S202" s="4">
        <f>INDEX('Vessel Valuations'!I$34:I$50,MATCH($E202,'Vessel Valuations'!$C$34:$C$50,0))</f>
        <v>55.67832167832168</v>
      </c>
      <c r="U202" s="202">
        <v>32888</v>
      </c>
      <c r="V202" s="185">
        <f>((INDEX('FFA &amp; Spot Rates'!F$23:F$43,MATCH(Hafnia!$E202,'FFA &amp; Spot Rates'!$C$23:$C$43,0))+$H202)*(1-INDEX(V$149:V$152,MATCH(Hafnia!$E202,$D$149:$D$152,0)))+INDEX(V$149:V$152,MATCH(Hafnia!$E202,$D$149:$D$152,0))*INDEX(V$154:V$157,MATCH(Hafnia!$E202,$D$154:$D$157,0)))*$N202</f>
        <v>33073.119999999995</v>
      </c>
      <c r="W202" s="185">
        <f>((INDEX('FFA &amp; Spot Rates'!G$23:G$43,MATCH(Hafnia!$E202,'FFA &amp; Spot Rates'!$C$23:$C$43,0))+$H202)*(1-INDEX(W$149:W$152,MATCH(Hafnia!$E202,$D$149:$D$152,0)))+INDEX(W$149:W$152,MATCH(Hafnia!$E202,$D$149:$D$152,0))*INDEX(W$154:W$157,MATCH(Hafnia!$E202,$D$154:$D$157,0)))*$N202</f>
        <v>26558</v>
      </c>
      <c r="X202" s="185">
        <f>((INDEX('FFA &amp; Spot Rates'!H$23:H$43,MATCH(Hafnia!$E202,'FFA &amp; Spot Rates'!$C$23:$C$43,0))+$H202)*(1-INDEX(X$149:X$152,MATCH(Hafnia!$E202,$D$149:$D$152,0)))+INDEX(X$149:X$152,MATCH(Hafnia!$E202,$D$149:$D$152,0))*INDEX(X$154:X$157,MATCH(Hafnia!$E202,$D$154:$D$157,0)))*$N202</f>
        <v>37740</v>
      </c>
      <c r="Y202" s="185">
        <f t="shared" si="40"/>
        <v>32564.78</v>
      </c>
      <c r="Z202" s="185"/>
      <c r="AA202" s="185"/>
      <c r="AB202" s="185"/>
      <c r="AC202" s="185"/>
      <c r="AD202" s="185"/>
      <c r="AI202" s="21"/>
      <c r="AJ202" s="21"/>
    </row>
    <row r="203" spans="3:36" s="20" customFormat="1" outlineLevel="1" x14ac:dyDescent="0.2">
      <c r="C203" s="157" t="s">
        <v>914</v>
      </c>
      <c r="D203" s="157" t="s">
        <v>15</v>
      </c>
      <c r="E203" s="157" t="s">
        <v>15</v>
      </c>
      <c r="F203" s="158" t="s">
        <v>321</v>
      </c>
      <c r="G203" s="118">
        <v>0</v>
      </c>
      <c r="H203" s="152">
        <f>INDEX(Premiums!$G$27:$G$30,MATCH(Hafnia!E203,Premiums!$E$27:$E$30,0))*G203</f>
        <v>0</v>
      </c>
      <c r="I203" s="186">
        <v>49999</v>
      </c>
      <c r="J203" s="159">
        <v>2014</v>
      </c>
      <c r="K203" s="63">
        <v>2024</v>
      </c>
      <c r="L203" s="56">
        <f t="shared" si="42"/>
        <v>10</v>
      </c>
      <c r="M203" s="1">
        <f t="shared" si="41"/>
        <v>33.38111888111888</v>
      </c>
      <c r="N203" s="184">
        <v>1</v>
      </c>
      <c r="P203" s="4">
        <f>INDEX('Vessel Valuations'!F$34:F$50,MATCH($E203,'Vessel Valuations'!$C$34:$C$50,0))</f>
        <v>7.8477078477077959E-5</v>
      </c>
      <c r="Q203" s="4">
        <f>INDEX('Vessel Valuations'!G$34:G$50,MATCH($E203,'Vessel Valuations'!$C$34:$C$50,0))</f>
        <v>2.6864801864801918E-2</v>
      </c>
      <c r="R203" s="4">
        <f>INDEX('Vessel Valuations'!H$34:H$50,MATCH($E203,'Vessel Valuations'!$C$34:$C$50,0))</f>
        <v>-2.5062160062160075</v>
      </c>
      <c r="S203" s="4">
        <f>INDEX('Vessel Valuations'!I$34:I$50,MATCH($E203,'Vessel Valuations'!$C$34:$C$50,0))</f>
        <v>55.67832167832168</v>
      </c>
      <c r="U203" s="202">
        <v>32888</v>
      </c>
      <c r="V203" s="185">
        <f>((INDEX('FFA &amp; Spot Rates'!F$23:F$43,MATCH(Hafnia!$E203,'FFA &amp; Spot Rates'!$C$23:$C$43,0))+$H203)*(1-INDEX(V$149:V$152,MATCH(Hafnia!$E203,$D$149:$D$152,0)))+INDEX(V$149:V$152,MATCH(Hafnia!$E203,$D$149:$D$152,0))*INDEX(V$154:V$157,MATCH(Hafnia!$E203,$D$154:$D$157,0)))*$N203</f>
        <v>33073.119999999995</v>
      </c>
      <c r="W203" s="185">
        <f>((INDEX('FFA &amp; Spot Rates'!G$23:G$43,MATCH(Hafnia!$E203,'FFA &amp; Spot Rates'!$C$23:$C$43,0))+$H203)*(1-INDEX(W$149:W$152,MATCH(Hafnia!$E203,$D$149:$D$152,0)))+INDEX(W$149:W$152,MATCH(Hafnia!$E203,$D$149:$D$152,0))*INDEX(W$154:W$157,MATCH(Hafnia!$E203,$D$154:$D$157,0)))*$N203</f>
        <v>26558</v>
      </c>
      <c r="X203" s="185">
        <f>((INDEX('FFA &amp; Spot Rates'!H$23:H$43,MATCH(Hafnia!$E203,'FFA &amp; Spot Rates'!$C$23:$C$43,0))+$H203)*(1-INDEX(X$149:X$152,MATCH(Hafnia!$E203,$D$149:$D$152,0)))+INDEX(X$149:X$152,MATCH(Hafnia!$E203,$D$149:$D$152,0))*INDEX(X$154:X$157,MATCH(Hafnia!$E203,$D$154:$D$157,0)))*$N203</f>
        <v>37740</v>
      </c>
      <c r="Y203" s="185">
        <f t="shared" si="40"/>
        <v>32564.78</v>
      </c>
      <c r="Z203" s="185"/>
      <c r="AA203" s="185"/>
      <c r="AB203" s="185"/>
      <c r="AC203" s="185"/>
      <c r="AD203" s="185"/>
      <c r="AI203" s="21"/>
      <c r="AJ203" s="21"/>
    </row>
    <row r="204" spans="3:36" s="20" customFormat="1" outlineLevel="1" x14ac:dyDescent="0.2">
      <c r="C204" s="157" t="s">
        <v>915</v>
      </c>
      <c r="D204" s="157" t="s">
        <v>15</v>
      </c>
      <c r="E204" s="157" t="s">
        <v>15</v>
      </c>
      <c r="F204" s="158" t="s">
        <v>321</v>
      </c>
      <c r="G204" s="118">
        <v>1</v>
      </c>
      <c r="H204" s="152">
        <f>INDEX(Premiums!$G$27:$G$30,MATCH(Hafnia!E204,Premiums!$E$27:$E$30,0))*G204</f>
        <v>1313.4452054794519</v>
      </c>
      <c r="I204" s="186">
        <v>49999</v>
      </c>
      <c r="J204" s="159">
        <v>2015</v>
      </c>
      <c r="K204" s="63">
        <v>2024</v>
      </c>
      <c r="L204" s="56">
        <f t="shared" si="42"/>
        <v>9</v>
      </c>
      <c r="M204" s="1">
        <f t="shared" si="41"/>
        <v>35.355636363636357</v>
      </c>
      <c r="N204" s="184">
        <v>1</v>
      </c>
      <c r="P204" s="4">
        <f>INDEX('Vessel Valuations'!F$34:F$50,MATCH($E204,'Vessel Valuations'!$C$34:$C$50,0))</f>
        <v>7.8477078477077959E-5</v>
      </c>
      <c r="Q204" s="4">
        <f>INDEX('Vessel Valuations'!G$34:G$50,MATCH($E204,'Vessel Valuations'!$C$34:$C$50,0))</f>
        <v>2.6864801864801918E-2</v>
      </c>
      <c r="R204" s="4">
        <f>INDEX('Vessel Valuations'!H$34:H$50,MATCH($E204,'Vessel Valuations'!$C$34:$C$50,0))</f>
        <v>-2.5062160062160075</v>
      </c>
      <c r="S204" s="4">
        <f>INDEX('Vessel Valuations'!I$34:I$50,MATCH($E204,'Vessel Valuations'!$C$34:$C$50,0))</f>
        <v>55.67832167832168</v>
      </c>
      <c r="U204" s="202">
        <v>32888</v>
      </c>
      <c r="V204" s="185">
        <f>((INDEX('FFA &amp; Spot Rates'!F$23:F$43,MATCH(Hafnia!$E204,'FFA &amp; Spot Rates'!$C$23:$C$43,0))+$H204)*(1-INDEX(V$149:V$152,MATCH(Hafnia!$E204,$D$149:$D$152,0)))+INDEX(V$149:V$152,MATCH(Hafnia!$E204,$D$149:$D$152,0))*INDEX(V$154:V$157,MATCH(Hafnia!$E204,$D$154:$D$157,0)))*$N204</f>
        <v>33506.556917808222</v>
      </c>
      <c r="W204" s="185">
        <f>((INDEX('FFA &amp; Spot Rates'!G$23:G$43,MATCH(Hafnia!$E204,'FFA &amp; Spot Rates'!$C$23:$C$43,0))+$H204)*(1-INDEX(W$149:W$152,MATCH(Hafnia!$E204,$D$149:$D$152,0)))+INDEX(W$149:W$152,MATCH(Hafnia!$E204,$D$149:$D$152,0))*INDEX(W$154:W$157,MATCH(Hafnia!$E204,$D$154:$D$157,0)))*$N204</f>
        <v>27871.445205479453</v>
      </c>
      <c r="X204" s="185">
        <f>((INDEX('FFA &amp; Spot Rates'!H$23:H$43,MATCH(Hafnia!$E204,'FFA &amp; Spot Rates'!$C$23:$C$43,0))+$H204)*(1-INDEX(X$149:X$152,MATCH(Hafnia!$E204,$D$149:$D$152,0)))+INDEX(X$149:X$152,MATCH(Hafnia!$E204,$D$149:$D$152,0))*INDEX(X$154:X$157,MATCH(Hafnia!$E204,$D$154:$D$157,0)))*$N204</f>
        <v>39053.445205479453</v>
      </c>
      <c r="Y204" s="185">
        <f t="shared" si="40"/>
        <v>33329.861832191782</v>
      </c>
      <c r="Z204" s="185"/>
      <c r="AA204" s="185"/>
      <c r="AB204" s="185"/>
      <c r="AC204" s="185"/>
      <c r="AD204" s="185"/>
      <c r="AI204" s="21"/>
      <c r="AJ204" s="21"/>
    </row>
    <row r="205" spans="3:36" s="20" customFormat="1" outlineLevel="1" x14ac:dyDescent="0.2">
      <c r="C205" s="157" t="s">
        <v>916</v>
      </c>
      <c r="D205" s="157" t="s">
        <v>15</v>
      </c>
      <c r="E205" s="157" t="s">
        <v>15</v>
      </c>
      <c r="F205" s="158" t="s">
        <v>321</v>
      </c>
      <c r="G205" s="118">
        <v>1</v>
      </c>
      <c r="H205" s="152">
        <f>INDEX(Premiums!$G$27:$G$30,MATCH(Hafnia!E205,Premiums!$E$27:$E$30,0))*G205</f>
        <v>1313.4452054794519</v>
      </c>
      <c r="I205" s="186">
        <v>49999</v>
      </c>
      <c r="J205" s="159">
        <v>2015</v>
      </c>
      <c r="K205" s="63">
        <v>2024</v>
      </c>
      <c r="L205" s="56">
        <f t="shared" si="42"/>
        <v>9</v>
      </c>
      <c r="M205" s="1">
        <f t="shared" si="41"/>
        <v>35.355636363636357</v>
      </c>
      <c r="N205" s="184">
        <v>1</v>
      </c>
      <c r="P205" s="4">
        <f>INDEX('Vessel Valuations'!F$34:F$50,MATCH($E205,'Vessel Valuations'!$C$34:$C$50,0))</f>
        <v>7.8477078477077959E-5</v>
      </c>
      <c r="Q205" s="4">
        <f>INDEX('Vessel Valuations'!G$34:G$50,MATCH($E205,'Vessel Valuations'!$C$34:$C$50,0))</f>
        <v>2.6864801864801918E-2</v>
      </c>
      <c r="R205" s="4">
        <f>INDEX('Vessel Valuations'!H$34:H$50,MATCH($E205,'Vessel Valuations'!$C$34:$C$50,0))</f>
        <v>-2.5062160062160075</v>
      </c>
      <c r="S205" s="4">
        <f>INDEX('Vessel Valuations'!I$34:I$50,MATCH($E205,'Vessel Valuations'!$C$34:$C$50,0))</f>
        <v>55.67832167832168</v>
      </c>
      <c r="U205" s="202">
        <v>32888</v>
      </c>
      <c r="V205" s="185">
        <f>((INDEX('FFA &amp; Spot Rates'!F$23:F$43,MATCH(Hafnia!$E205,'FFA &amp; Spot Rates'!$C$23:$C$43,0))+$H205)*(1-INDEX(V$149:V$152,MATCH(Hafnia!$E205,$D$149:$D$152,0)))+INDEX(V$149:V$152,MATCH(Hafnia!$E205,$D$149:$D$152,0))*INDEX(V$154:V$157,MATCH(Hafnia!$E205,$D$154:$D$157,0)))*$N205</f>
        <v>33506.556917808222</v>
      </c>
      <c r="W205" s="185">
        <f>((INDEX('FFA &amp; Spot Rates'!G$23:G$43,MATCH(Hafnia!$E205,'FFA &amp; Spot Rates'!$C$23:$C$43,0))+$H205)*(1-INDEX(W$149:W$152,MATCH(Hafnia!$E205,$D$149:$D$152,0)))+INDEX(W$149:W$152,MATCH(Hafnia!$E205,$D$149:$D$152,0))*INDEX(W$154:W$157,MATCH(Hafnia!$E205,$D$154:$D$157,0)))*$N205</f>
        <v>27871.445205479453</v>
      </c>
      <c r="X205" s="185">
        <f>((INDEX('FFA &amp; Spot Rates'!H$23:H$43,MATCH(Hafnia!$E205,'FFA &amp; Spot Rates'!$C$23:$C$43,0))+$H205)*(1-INDEX(X$149:X$152,MATCH(Hafnia!$E205,$D$149:$D$152,0)))+INDEX(X$149:X$152,MATCH(Hafnia!$E205,$D$149:$D$152,0))*INDEX(X$154:X$157,MATCH(Hafnia!$E205,$D$154:$D$157,0)))*$N205</f>
        <v>39053.445205479453</v>
      </c>
      <c r="Y205" s="185">
        <f t="shared" si="40"/>
        <v>33329.861832191782</v>
      </c>
      <c r="Z205" s="185"/>
      <c r="AA205" s="185"/>
      <c r="AB205" s="185"/>
      <c r="AC205" s="185"/>
      <c r="AD205" s="185"/>
      <c r="AI205" s="21"/>
      <c r="AJ205" s="21"/>
    </row>
    <row r="206" spans="3:36" s="20" customFormat="1" outlineLevel="1" x14ac:dyDescent="0.2">
      <c r="C206" s="157" t="s">
        <v>917</v>
      </c>
      <c r="D206" s="157" t="s">
        <v>15</v>
      </c>
      <c r="E206" s="157" t="s">
        <v>15</v>
      </c>
      <c r="F206" s="158" t="s">
        <v>321</v>
      </c>
      <c r="G206" s="118">
        <v>1</v>
      </c>
      <c r="H206" s="152">
        <f>INDEX(Premiums!$G$27:$G$30,MATCH(Hafnia!E206,Premiums!$E$27:$E$30,0))*G206</f>
        <v>1313.4452054794519</v>
      </c>
      <c r="I206" s="186">
        <v>49999</v>
      </c>
      <c r="J206" s="159">
        <v>2015</v>
      </c>
      <c r="K206" s="63">
        <v>2024</v>
      </c>
      <c r="L206" s="56">
        <f t="shared" si="42"/>
        <v>9</v>
      </c>
      <c r="M206" s="1">
        <f t="shared" si="41"/>
        <v>35.355636363636357</v>
      </c>
      <c r="N206" s="184">
        <v>1</v>
      </c>
      <c r="P206" s="4">
        <f>INDEX('Vessel Valuations'!F$34:F$50,MATCH($E206,'Vessel Valuations'!$C$34:$C$50,0))</f>
        <v>7.8477078477077959E-5</v>
      </c>
      <c r="Q206" s="4">
        <f>INDEX('Vessel Valuations'!G$34:G$50,MATCH($E206,'Vessel Valuations'!$C$34:$C$50,0))</f>
        <v>2.6864801864801918E-2</v>
      </c>
      <c r="R206" s="4">
        <f>INDEX('Vessel Valuations'!H$34:H$50,MATCH($E206,'Vessel Valuations'!$C$34:$C$50,0))</f>
        <v>-2.5062160062160075</v>
      </c>
      <c r="S206" s="4">
        <f>INDEX('Vessel Valuations'!I$34:I$50,MATCH($E206,'Vessel Valuations'!$C$34:$C$50,0))</f>
        <v>55.67832167832168</v>
      </c>
      <c r="U206" s="202">
        <v>32888</v>
      </c>
      <c r="V206" s="185">
        <f>((INDEX('FFA &amp; Spot Rates'!F$23:F$43,MATCH(Hafnia!$E206,'FFA &amp; Spot Rates'!$C$23:$C$43,0))+$H206)*(1-INDEX(V$149:V$152,MATCH(Hafnia!$E206,$D$149:$D$152,0)))+INDEX(V$149:V$152,MATCH(Hafnia!$E206,$D$149:$D$152,0))*INDEX(V$154:V$157,MATCH(Hafnia!$E206,$D$154:$D$157,0)))*$N206</f>
        <v>33506.556917808222</v>
      </c>
      <c r="W206" s="185">
        <f>((INDEX('FFA &amp; Spot Rates'!G$23:G$43,MATCH(Hafnia!$E206,'FFA &amp; Spot Rates'!$C$23:$C$43,0))+$H206)*(1-INDEX(W$149:W$152,MATCH(Hafnia!$E206,$D$149:$D$152,0)))+INDEX(W$149:W$152,MATCH(Hafnia!$E206,$D$149:$D$152,0))*INDEX(W$154:W$157,MATCH(Hafnia!$E206,$D$154:$D$157,0)))*$N206</f>
        <v>27871.445205479453</v>
      </c>
      <c r="X206" s="185">
        <f>((INDEX('FFA &amp; Spot Rates'!H$23:H$43,MATCH(Hafnia!$E206,'FFA &amp; Spot Rates'!$C$23:$C$43,0))+$H206)*(1-INDEX(X$149:X$152,MATCH(Hafnia!$E206,$D$149:$D$152,0)))+INDEX(X$149:X$152,MATCH(Hafnia!$E206,$D$149:$D$152,0))*INDEX(X$154:X$157,MATCH(Hafnia!$E206,$D$154:$D$157,0)))*$N206</f>
        <v>39053.445205479453</v>
      </c>
      <c r="Y206" s="185">
        <f t="shared" si="40"/>
        <v>33329.861832191782</v>
      </c>
      <c r="Z206" s="185"/>
      <c r="AA206" s="185"/>
      <c r="AB206" s="185"/>
      <c r="AC206" s="185"/>
      <c r="AD206" s="185"/>
      <c r="AI206" s="21"/>
      <c r="AJ206" s="21"/>
    </row>
    <row r="207" spans="3:36" s="20" customFormat="1" outlineLevel="1" x14ac:dyDescent="0.2">
      <c r="C207" s="157" t="s">
        <v>918</v>
      </c>
      <c r="D207" s="157" t="s">
        <v>15</v>
      </c>
      <c r="E207" s="157" t="s">
        <v>15</v>
      </c>
      <c r="F207" s="158" t="s">
        <v>321</v>
      </c>
      <c r="G207" s="118">
        <v>1</v>
      </c>
      <c r="H207" s="152">
        <f>INDEX(Premiums!$G$27:$G$30,MATCH(Hafnia!E207,Premiums!$E$27:$E$30,0))*G207</f>
        <v>1313.4452054794519</v>
      </c>
      <c r="I207" s="186">
        <v>49999</v>
      </c>
      <c r="J207" s="159">
        <v>2016</v>
      </c>
      <c r="K207" s="63">
        <v>2024</v>
      </c>
      <c r="L207" s="56">
        <f t="shared" si="42"/>
        <v>8</v>
      </c>
      <c r="M207" s="1">
        <f t="shared" si="41"/>
        <v>37.388121212121206</v>
      </c>
      <c r="N207" s="184">
        <v>1</v>
      </c>
      <c r="P207" s="4">
        <f>INDEX('Vessel Valuations'!F$34:F$50,MATCH($E207,'Vessel Valuations'!$C$34:$C$50,0))</f>
        <v>7.8477078477077959E-5</v>
      </c>
      <c r="Q207" s="4">
        <f>INDEX('Vessel Valuations'!G$34:G$50,MATCH($E207,'Vessel Valuations'!$C$34:$C$50,0))</f>
        <v>2.6864801864801918E-2</v>
      </c>
      <c r="R207" s="4">
        <f>INDEX('Vessel Valuations'!H$34:H$50,MATCH($E207,'Vessel Valuations'!$C$34:$C$50,0))</f>
        <v>-2.5062160062160075</v>
      </c>
      <c r="S207" s="4">
        <f>INDEX('Vessel Valuations'!I$34:I$50,MATCH($E207,'Vessel Valuations'!$C$34:$C$50,0))</f>
        <v>55.67832167832168</v>
      </c>
      <c r="U207" s="202">
        <v>32888</v>
      </c>
      <c r="V207" s="185">
        <f>((INDEX('FFA &amp; Spot Rates'!F$23:F$43,MATCH(Hafnia!$E207,'FFA &amp; Spot Rates'!$C$23:$C$43,0))+$H207)*(1-INDEX(V$149:V$152,MATCH(Hafnia!$E207,$D$149:$D$152,0)))+INDEX(V$149:V$152,MATCH(Hafnia!$E207,$D$149:$D$152,0))*INDEX(V$154:V$157,MATCH(Hafnia!$E207,$D$154:$D$157,0)))*$N207</f>
        <v>33506.556917808222</v>
      </c>
      <c r="W207" s="185">
        <f>((INDEX('FFA &amp; Spot Rates'!G$23:G$43,MATCH(Hafnia!$E207,'FFA &amp; Spot Rates'!$C$23:$C$43,0))+$H207)*(1-INDEX(W$149:W$152,MATCH(Hafnia!$E207,$D$149:$D$152,0)))+INDEX(W$149:W$152,MATCH(Hafnia!$E207,$D$149:$D$152,0))*INDEX(W$154:W$157,MATCH(Hafnia!$E207,$D$154:$D$157,0)))*$N207</f>
        <v>27871.445205479453</v>
      </c>
      <c r="X207" s="185">
        <f>((INDEX('FFA &amp; Spot Rates'!H$23:H$43,MATCH(Hafnia!$E207,'FFA &amp; Spot Rates'!$C$23:$C$43,0))+$H207)*(1-INDEX(X$149:X$152,MATCH(Hafnia!$E207,$D$149:$D$152,0)))+INDEX(X$149:X$152,MATCH(Hafnia!$E207,$D$149:$D$152,0))*INDEX(X$154:X$157,MATCH(Hafnia!$E207,$D$154:$D$157,0)))*$N207</f>
        <v>39053.445205479453</v>
      </c>
      <c r="Y207" s="185">
        <f t="shared" si="40"/>
        <v>33329.861832191782</v>
      </c>
      <c r="Z207" s="185"/>
      <c r="AA207" s="185"/>
      <c r="AB207" s="185"/>
      <c r="AC207" s="185"/>
      <c r="AD207" s="185"/>
      <c r="AI207" s="21"/>
      <c r="AJ207" s="21"/>
    </row>
    <row r="208" spans="3:36" s="20" customFormat="1" outlineLevel="1" x14ac:dyDescent="0.2">
      <c r="C208" s="157" t="s">
        <v>919</v>
      </c>
      <c r="D208" s="157" t="s">
        <v>15</v>
      </c>
      <c r="E208" s="157" t="s">
        <v>15</v>
      </c>
      <c r="F208" s="158" t="s">
        <v>321</v>
      </c>
      <c r="G208" s="118">
        <v>1</v>
      </c>
      <c r="H208" s="152">
        <f>INDEX(Premiums!$G$27:$G$30,MATCH(Hafnia!E208,Premiums!$E$27:$E$30,0))*G208</f>
        <v>1313.4452054794519</v>
      </c>
      <c r="I208" s="186">
        <v>49999</v>
      </c>
      <c r="J208" s="159">
        <v>2015</v>
      </c>
      <c r="K208" s="63">
        <v>2024</v>
      </c>
      <c r="L208" s="56">
        <f t="shared" si="42"/>
        <v>9</v>
      </c>
      <c r="M208" s="1">
        <f t="shared" si="41"/>
        <v>35.355636363636357</v>
      </c>
      <c r="N208" s="184">
        <v>1</v>
      </c>
      <c r="P208" s="4">
        <f>INDEX('Vessel Valuations'!F$34:F$50,MATCH($E208,'Vessel Valuations'!$C$34:$C$50,0))</f>
        <v>7.8477078477077959E-5</v>
      </c>
      <c r="Q208" s="4">
        <f>INDEX('Vessel Valuations'!G$34:G$50,MATCH($E208,'Vessel Valuations'!$C$34:$C$50,0))</f>
        <v>2.6864801864801918E-2</v>
      </c>
      <c r="R208" s="4">
        <f>INDEX('Vessel Valuations'!H$34:H$50,MATCH($E208,'Vessel Valuations'!$C$34:$C$50,0))</f>
        <v>-2.5062160062160075</v>
      </c>
      <c r="S208" s="4">
        <f>INDEX('Vessel Valuations'!I$34:I$50,MATCH($E208,'Vessel Valuations'!$C$34:$C$50,0))</f>
        <v>55.67832167832168</v>
      </c>
      <c r="U208" s="202">
        <v>32888</v>
      </c>
      <c r="V208" s="185">
        <f>((INDEX('FFA &amp; Spot Rates'!F$23:F$43,MATCH(Hafnia!$E208,'FFA &amp; Spot Rates'!$C$23:$C$43,0))+$H208)*(1-INDEX(V$149:V$152,MATCH(Hafnia!$E208,$D$149:$D$152,0)))+INDEX(V$149:V$152,MATCH(Hafnia!$E208,$D$149:$D$152,0))*INDEX(V$154:V$157,MATCH(Hafnia!$E208,$D$154:$D$157,0)))*$N208</f>
        <v>33506.556917808222</v>
      </c>
      <c r="W208" s="185">
        <f>((INDEX('FFA &amp; Spot Rates'!G$23:G$43,MATCH(Hafnia!$E208,'FFA &amp; Spot Rates'!$C$23:$C$43,0))+$H208)*(1-INDEX(W$149:W$152,MATCH(Hafnia!$E208,$D$149:$D$152,0)))+INDEX(W$149:W$152,MATCH(Hafnia!$E208,$D$149:$D$152,0))*INDEX(W$154:W$157,MATCH(Hafnia!$E208,$D$154:$D$157,0)))*$N208</f>
        <v>27871.445205479453</v>
      </c>
      <c r="X208" s="185">
        <f>((INDEX('FFA &amp; Spot Rates'!H$23:H$43,MATCH(Hafnia!$E208,'FFA &amp; Spot Rates'!$C$23:$C$43,0))+$H208)*(1-INDEX(X$149:X$152,MATCH(Hafnia!$E208,$D$149:$D$152,0)))+INDEX(X$149:X$152,MATCH(Hafnia!$E208,$D$149:$D$152,0))*INDEX(X$154:X$157,MATCH(Hafnia!$E208,$D$154:$D$157,0)))*$N208</f>
        <v>39053.445205479453</v>
      </c>
      <c r="Y208" s="185">
        <f t="shared" si="40"/>
        <v>33329.861832191782</v>
      </c>
      <c r="Z208" s="185"/>
      <c r="AA208" s="185"/>
      <c r="AB208" s="185"/>
      <c r="AC208" s="185"/>
      <c r="AD208" s="185"/>
      <c r="AI208" s="21"/>
      <c r="AJ208" s="21"/>
    </row>
    <row r="209" spans="3:36" s="20" customFormat="1" outlineLevel="1" x14ac:dyDescent="0.2">
      <c r="C209" s="157" t="s">
        <v>920</v>
      </c>
      <c r="D209" s="157" t="s">
        <v>15</v>
      </c>
      <c r="E209" s="157" t="s">
        <v>15</v>
      </c>
      <c r="F209" s="158" t="s">
        <v>321</v>
      </c>
      <c r="G209" s="118">
        <v>0</v>
      </c>
      <c r="H209" s="152">
        <f>INDEX(Premiums!$G$27:$G$30,MATCH(Hafnia!E209,Premiums!$E$27:$E$30,0))*G209</f>
        <v>0</v>
      </c>
      <c r="I209" s="186">
        <v>49999</v>
      </c>
      <c r="J209" s="159">
        <v>2014</v>
      </c>
      <c r="K209" s="63">
        <v>2024</v>
      </c>
      <c r="L209" s="56">
        <f t="shared" si="42"/>
        <v>10</v>
      </c>
      <c r="M209" s="1">
        <f t="shared" si="41"/>
        <v>33.38111888111888</v>
      </c>
      <c r="N209" s="184">
        <v>1</v>
      </c>
      <c r="P209" s="4">
        <f>INDEX('Vessel Valuations'!F$34:F$50,MATCH($E209,'Vessel Valuations'!$C$34:$C$50,0))</f>
        <v>7.8477078477077959E-5</v>
      </c>
      <c r="Q209" s="4">
        <f>INDEX('Vessel Valuations'!G$34:G$50,MATCH($E209,'Vessel Valuations'!$C$34:$C$50,0))</f>
        <v>2.6864801864801918E-2</v>
      </c>
      <c r="R209" s="4">
        <f>INDEX('Vessel Valuations'!H$34:H$50,MATCH($E209,'Vessel Valuations'!$C$34:$C$50,0))</f>
        <v>-2.5062160062160075</v>
      </c>
      <c r="S209" s="4">
        <f>INDEX('Vessel Valuations'!I$34:I$50,MATCH($E209,'Vessel Valuations'!$C$34:$C$50,0))</f>
        <v>55.67832167832168</v>
      </c>
      <c r="U209" s="202">
        <v>32888</v>
      </c>
      <c r="V209" s="185">
        <f>((INDEX('FFA &amp; Spot Rates'!F$23:F$43,MATCH(Hafnia!$E209,'FFA &amp; Spot Rates'!$C$23:$C$43,0))+$H209)*(1-INDEX(V$149:V$152,MATCH(Hafnia!$E209,$D$149:$D$152,0)))+INDEX(V$149:V$152,MATCH(Hafnia!$E209,$D$149:$D$152,0))*INDEX(V$154:V$157,MATCH(Hafnia!$E209,$D$154:$D$157,0)))*$N209</f>
        <v>33073.119999999995</v>
      </c>
      <c r="W209" s="185">
        <f>((INDEX('FFA &amp; Spot Rates'!G$23:G$43,MATCH(Hafnia!$E209,'FFA &amp; Spot Rates'!$C$23:$C$43,0))+$H209)*(1-INDEX(W$149:W$152,MATCH(Hafnia!$E209,$D$149:$D$152,0)))+INDEX(W$149:W$152,MATCH(Hafnia!$E209,$D$149:$D$152,0))*INDEX(W$154:W$157,MATCH(Hafnia!$E209,$D$154:$D$157,0)))*$N209</f>
        <v>26558</v>
      </c>
      <c r="X209" s="185">
        <f>((INDEX('FFA &amp; Spot Rates'!H$23:H$43,MATCH(Hafnia!$E209,'FFA &amp; Spot Rates'!$C$23:$C$43,0))+$H209)*(1-INDEX(X$149:X$152,MATCH(Hafnia!$E209,$D$149:$D$152,0)))+INDEX(X$149:X$152,MATCH(Hafnia!$E209,$D$149:$D$152,0))*INDEX(X$154:X$157,MATCH(Hafnia!$E209,$D$154:$D$157,0)))*$N209</f>
        <v>37740</v>
      </c>
      <c r="Y209" s="185">
        <f t="shared" si="40"/>
        <v>32564.78</v>
      </c>
      <c r="Z209" s="185"/>
      <c r="AA209" s="185"/>
      <c r="AB209" s="185"/>
      <c r="AC209" s="185"/>
      <c r="AD209" s="185"/>
      <c r="AI209" s="21"/>
      <c r="AJ209" s="21"/>
    </row>
    <row r="210" spans="3:36" s="20" customFormat="1" outlineLevel="1" x14ac:dyDescent="0.2">
      <c r="C210" s="157" t="s">
        <v>921</v>
      </c>
      <c r="D210" s="157" t="s">
        <v>15</v>
      </c>
      <c r="E210" s="157" t="s">
        <v>15</v>
      </c>
      <c r="F210" s="158" t="s">
        <v>321</v>
      </c>
      <c r="G210" s="118">
        <v>1</v>
      </c>
      <c r="H210" s="152">
        <f>INDEX(Premiums!$G$27:$G$30,MATCH(Hafnia!E210,Premiums!$E$27:$E$30,0))*G210</f>
        <v>1313.4452054794519</v>
      </c>
      <c r="I210" s="186">
        <v>49999</v>
      </c>
      <c r="J210" s="159">
        <v>2017</v>
      </c>
      <c r="K210" s="63">
        <v>2024</v>
      </c>
      <c r="L210" s="56">
        <f t="shared" si="42"/>
        <v>7</v>
      </c>
      <c r="M210" s="1">
        <f t="shared" si="41"/>
        <v>39.478102564102556</v>
      </c>
      <c r="N210" s="184">
        <v>1</v>
      </c>
      <c r="P210" s="4">
        <f>INDEX('Vessel Valuations'!F$34:F$50,MATCH($E210,'Vessel Valuations'!$C$34:$C$50,0))</f>
        <v>7.8477078477077959E-5</v>
      </c>
      <c r="Q210" s="4">
        <f>INDEX('Vessel Valuations'!G$34:G$50,MATCH($E210,'Vessel Valuations'!$C$34:$C$50,0))</f>
        <v>2.6864801864801918E-2</v>
      </c>
      <c r="R210" s="4">
        <f>INDEX('Vessel Valuations'!H$34:H$50,MATCH($E210,'Vessel Valuations'!$C$34:$C$50,0))</f>
        <v>-2.5062160062160075</v>
      </c>
      <c r="S210" s="4">
        <f>INDEX('Vessel Valuations'!I$34:I$50,MATCH($E210,'Vessel Valuations'!$C$34:$C$50,0))</f>
        <v>55.67832167832168</v>
      </c>
      <c r="U210" s="202">
        <v>32888</v>
      </c>
      <c r="V210" s="185">
        <f>((INDEX('FFA &amp; Spot Rates'!F$23:F$43,MATCH(Hafnia!$E210,'FFA &amp; Spot Rates'!$C$23:$C$43,0))+$H210)*(1-INDEX(V$149:V$152,MATCH(Hafnia!$E210,$D$149:$D$152,0)))+INDEX(V$149:V$152,MATCH(Hafnia!$E210,$D$149:$D$152,0))*INDEX(V$154:V$157,MATCH(Hafnia!$E210,$D$154:$D$157,0)))*$N210</f>
        <v>33506.556917808222</v>
      </c>
      <c r="W210" s="185">
        <f>((INDEX('FFA &amp; Spot Rates'!G$23:G$43,MATCH(Hafnia!$E210,'FFA &amp; Spot Rates'!$C$23:$C$43,0))+$H210)*(1-INDEX(W$149:W$152,MATCH(Hafnia!$E210,$D$149:$D$152,0)))+INDEX(W$149:W$152,MATCH(Hafnia!$E210,$D$149:$D$152,0))*INDEX(W$154:W$157,MATCH(Hafnia!$E210,$D$154:$D$157,0)))*$N210</f>
        <v>27871.445205479453</v>
      </c>
      <c r="X210" s="185">
        <f>((INDEX('FFA &amp; Spot Rates'!H$23:H$43,MATCH(Hafnia!$E210,'FFA &amp; Spot Rates'!$C$23:$C$43,0))+$H210)*(1-INDEX(X$149:X$152,MATCH(Hafnia!$E210,$D$149:$D$152,0)))+INDEX(X$149:X$152,MATCH(Hafnia!$E210,$D$149:$D$152,0))*INDEX(X$154:X$157,MATCH(Hafnia!$E210,$D$154:$D$157,0)))*$N210</f>
        <v>39053.445205479453</v>
      </c>
      <c r="Y210" s="185">
        <f t="shared" si="40"/>
        <v>33329.861832191782</v>
      </c>
      <c r="Z210" s="185"/>
      <c r="AA210" s="185"/>
      <c r="AB210" s="185"/>
      <c r="AC210" s="185"/>
      <c r="AD210" s="185"/>
      <c r="AI210" s="21"/>
      <c r="AJ210" s="21"/>
    </row>
    <row r="211" spans="3:36" s="20" customFormat="1" outlineLevel="1" x14ac:dyDescent="0.2">
      <c r="C211" s="157" t="s">
        <v>922</v>
      </c>
      <c r="D211" s="157" t="s">
        <v>15</v>
      </c>
      <c r="E211" s="157" t="s">
        <v>15</v>
      </c>
      <c r="F211" s="158" t="s">
        <v>321</v>
      </c>
      <c r="G211" s="118">
        <v>1</v>
      </c>
      <c r="H211" s="152">
        <f>INDEX(Premiums!$G$27:$G$30,MATCH(Hafnia!E211,Premiums!$E$27:$E$30,0))*G211</f>
        <v>1313.4452054794519</v>
      </c>
      <c r="I211" s="186">
        <v>49999</v>
      </c>
      <c r="J211" s="159">
        <v>2016</v>
      </c>
      <c r="K211" s="63">
        <v>2024</v>
      </c>
      <c r="L211" s="56">
        <f t="shared" si="42"/>
        <v>8</v>
      </c>
      <c r="M211" s="1">
        <f t="shared" si="41"/>
        <v>37.388121212121206</v>
      </c>
      <c r="N211" s="184">
        <v>1</v>
      </c>
      <c r="P211" s="4">
        <f>INDEX('Vessel Valuations'!F$34:F$50,MATCH($E211,'Vessel Valuations'!$C$34:$C$50,0))</f>
        <v>7.8477078477077959E-5</v>
      </c>
      <c r="Q211" s="4">
        <f>INDEX('Vessel Valuations'!G$34:G$50,MATCH($E211,'Vessel Valuations'!$C$34:$C$50,0))</f>
        <v>2.6864801864801918E-2</v>
      </c>
      <c r="R211" s="4">
        <f>INDEX('Vessel Valuations'!H$34:H$50,MATCH($E211,'Vessel Valuations'!$C$34:$C$50,0))</f>
        <v>-2.5062160062160075</v>
      </c>
      <c r="S211" s="4">
        <f>INDEX('Vessel Valuations'!I$34:I$50,MATCH($E211,'Vessel Valuations'!$C$34:$C$50,0))</f>
        <v>55.67832167832168</v>
      </c>
      <c r="U211" s="202">
        <v>32888</v>
      </c>
      <c r="V211" s="185">
        <f>((INDEX('FFA &amp; Spot Rates'!F$23:F$43,MATCH(Hafnia!$E211,'FFA &amp; Spot Rates'!$C$23:$C$43,0))+$H211)*(1-INDEX(V$149:V$152,MATCH(Hafnia!$E211,$D$149:$D$152,0)))+INDEX(V$149:V$152,MATCH(Hafnia!$E211,$D$149:$D$152,0))*INDEX(V$154:V$157,MATCH(Hafnia!$E211,$D$154:$D$157,0)))*$N211</f>
        <v>33506.556917808222</v>
      </c>
      <c r="W211" s="185">
        <f>((INDEX('FFA &amp; Spot Rates'!G$23:G$43,MATCH(Hafnia!$E211,'FFA &amp; Spot Rates'!$C$23:$C$43,0))+$H211)*(1-INDEX(W$149:W$152,MATCH(Hafnia!$E211,$D$149:$D$152,0)))+INDEX(W$149:W$152,MATCH(Hafnia!$E211,$D$149:$D$152,0))*INDEX(W$154:W$157,MATCH(Hafnia!$E211,$D$154:$D$157,0)))*$N211</f>
        <v>27871.445205479453</v>
      </c>
      <c r="X211" s="185">
        <f>((INDEX('FFA &amp; Spot Rates'!H$23:H$43,MATCH(Hafnia!$E211,'FFA &amp; Spot Rates'!$C$23:$C$43,0))+$H211)*(1-INDEX(X$149:X$152,MATCH(Hafnia!$E211,$D$149:$D$152,0)))+INDEX(X$149:X$152,MATCH(Hafnia!$E211,$D$149:$D$152,0))*INDEX(X$154:X$157,MATCH(Hafnia!$E211,$D$154:$D$157,0)))*$N211</f>
        <v>39053.445205479453</v>
      </c>
      <c r="Y211" s="185">
        <f t="shared" si="40"/>
        <v>33329.861832191782</v>
      </c>
      <c r="Z211" s="185"/>
      <c r="AA211" s="185"/>
      <c r="AB211" s="185"/>
      <c r="AC211" s="185"/>
      <c r="AD211" s="185"/>
      <c r="AI211" s="21"/>
      <c r="AJ211" s="21"/>
    </row>
    <row r="212" spans="3:36" s="20" customFormat="1" outlineLevel="1" x14ac:dyDescent="0.2">
      <c r="C212" s="157" t="s">
        <v>923</v>
      </c>
      <c r="D212" s="157" t="s">
        <v>15</v>
      </c>
      <c r="E212" s="157" t="s">
        <v>15</v>
      </c>
      <c r="F212" s="158" t="s">
        <v>321</v>
      </c>
      <c r="G212" s="118">
        <v>1</v>
      </c>
      <c r="H212" s="152">
        <f>INDEX(Premiums!$G$27:$G$30,MATCH(Hafnia!E212,Premiums!$E$27:$E$30,0))*G212</f>
        <v>1313.4452054794519</v>
      </c>
      <c r="I212" s="186">
        <v>49999</v>
      </c>
      <c r="J212" s="159">
        <v>2017</v>
      </c>
      <c r="K212" s="63">
        <v>2024</v>
      </c>
      <c r="L212" s="56">
        <f t="shared" si="42"/>
        <v>7</v>
      </c>
      <c r="M212" s="1">
        <f t="shared" si="41"/>
        <v>39.478102564102556</v>
      </c>
      <c r="N212" s="184">
        <v>1</v>
      </c>
      <c r="P212" s="4">
        <f>INDEX('Vessel Valuations'!F$34:F$50,MATCH($E212,'Vessel Valuations'!$C$34:$C$50,0))</f>
        <v>7.8477078477077959E-5</v>
      </c>
      <c r="Q212" s="4">
        <f>INDEX('Vessel Valuations'!G$34:G$50,MATCH($E212,'Vessel Valuations'!$C$34:$C$50,0))</f>
        <v>2.6864801864801918E-2</v>
      </c>
      <c r="R212" s="4">
        <f>INDEX('Vessel Valuations'!H$34:H$50,MATCH($E212,'Vessel Valuations'!$C$34:$C$50,0))</f>
        <v>-2.5062160062160075</v>
      </c>
      <c r="S212" s="4">
        <f>INDEX('Vessel Valuations'!I$34:I$50,MATCH($E212,'Vessel Valuations'!$C$34:$C$50,0))</f>
        <v>55.67832167832168</v>
      </c>
      <c r="U212" s="202">
        <v>32888</v>
      </c>
      <c r="V212" s="185">
        <f>((INDEX('FFA &amp; Spot Rates'!F$23:F$43,MATCH(Hafnia!$E212,'FFA &amp; Spot Rates'!$C$23:$C$43,0))+$H212)*(1-INDEX(V$149:V$152,MATCH(Hafnia!$E212,$D$149:$D$152,0)))+INDEX(V$149:V$152,MATCH(Hafnia!$E212,$D$149:$D$152,0))*INDEX(V$154:V$157,MATCH(Hafnia!$E212,$D$154:$D$157,0)))*$N212</f>
        <v>33506.556917808222</v>
      </c>
      <c r="W212" s="185">
        <f>((INDEX('FFA &amp; Spot Rates'!G$23:G$43,MATCH(Hafnia!$E212,'FFA &amp; Spot Rates'!$C$23:$C$43,0))+$H212)*(1-INDEX(W$149:W$152,MATCH(Hafnia!$E212,$D$149:$D$152,0)))+INDEX(W$149:W$152,MATCH(Hafnia!$E212,$D$149:$D$152,0))*INDEX(W$154:W$157,MATCH(Hafnia!$E212,$D$154:$D$157,0)))*$N212</f>
        <v>27871.445205479453</v>
      </c>
      <c r="X212" s="185">
        <f>((INDEX('FFA &amp; Spot Rates'!H$23:H$43,MATCH(Hafnia!$E212,'FFA &amp; Spot Rates'!$C$23:$C$43,0))+$H212)*(1-INDEX(X$149:X$152,MATCH(Hafnia!$E212,$D$149:$D$152,0)))+INDEX(X$149:X$152,MATCH(Hafnia!$E212,$D$149:$D$152,0))*INDEX(X$154:X$157,MATCH(Hafnia!$E212,$D$154:$D$157,0)))*$N212</f>
        <v>39053.445205479453</v>
      </c>
      <c r="Y212" s="185">
        <f t="shared" si="40"/>
        <v>33329.861832191782</v>
      </c>
      <c r="Z212" s="185"/>
      <c r="AA212" s="185"/>
      <c r="AB212" s="185"/>
      <c r="AC212" s="185"/>
      <c r="AD212" s="185"/>
      <c r="AI212" s="21"/>
      <c r="AJ212" s="21"/>
    </row>
    <row r="213" spans="3:36" s="20" customFormat="1" outlineLevel="1" x14ac:dyDescent="0.2">
      <c r="C213" s="157" t="s">
        <v>924</v>
      </c>
      <c r="D213" s="157" t="s">
        <v>15</v>
      </c>
      <c r="E213" s="157" t="s">
        <v>15</v>
      </c>
      <c r="F213" s="158" t="s">
        <v>321</v>
      </c>
      <c r="G213" s="118">
        <v>1</v>
      </c>
      <c r="H213" s="152">
        <f>INDEX(Premiums!$G$27:$G$30,MATCH(Hafnia!E213,Premiums!$E$27:$E$30,0))*G213</f>
        <v>1313.4452054794519</v>
      </c>
      <c r="I213" s="186">
        <v>49999</v>
      </c>
      <c r="J213" s="159">
        <v>2015</v>
      </c>
      <c r="K213" s="63">
        <v>2024</v>
      </c>
      <c r="L213" s="56">
        <f t="shared" si="42"/>
        <v>9</v>
      </c>
      <c r="M213" s="1">
        <f t="shared" si="41"/>
        <v>35.355636363636357</v>
      </c>
      <c r="N213" s="184">
        <v>1</v>
      </c>
      <c r="P213" s="4">
        <f>INDEX('Vessel Valuations'!F$34:F$50,MATCH($E213,'Vessel Valuations'!$C$34:$C$50,0))</f>
        <v>7.8477078477077959E-5</v>
      </c>
      <c r="Q213" s="4">
        <f>INDEX('Vessel Valuations'!G$34:G$50,MATCH($E213,'Vessel Valuations'!$C$34:$C$50,0))</f>
        <v>2.6864801864801918E-2</v>
      </c>
      <c r="R213" s="4">
        <f>INDEX('Vessel Valuations'!H$34:H$50,MATCH($E213,'Vessel Valuations'!$C$34:$C$50,0))</f>
        <v>-2.5062160062160075</v>
      </c>
      <c r="S213" s="4">
        <f>INDEX('Vessel Valuations'!I$34:I$50,MATCH($E213,'Vessel Valuations'!$C$34:$C$50,0))</f>
        <v>55.67832167832168</v>
      </c>
      <c r="U213" s="202">
        <v>32888</v>
      </c>
      <c r="V213" s="185">
        <f>((INDEX('FFA &amp; Spot Rates'!F$23:F$43,MATCH(Hafnia!$E213,'FFA &amp; Spot Rates'!$C$23:$C$43,0))+$H213)*(1-INDEX(V$149:V$152,MATCH(Hafnia!$E213,$D$149:$D$152,0)))+INDEX(V$149:V$152,MATCH(Hafnia!$E213,$D$149:$D$152,0))*INDEX(V$154:V$157,MATCH(Hafnia!$E213,$D$154:$D$157,0)))*$N213</f>
        <v>33506.556917808222</v>
      </c>
      <c r="W213" s="185">
        <f>((INDEX('FFA &amp; Spot Rates'!G$23:G$43,MATCH(Hafnia!$E213,'FFA &amp; Spot Rates'!$C$23:$C$43,0))+$H213)*(1-INDEX(W$149:W$152,MATCH(Hafnia!$E213,$D$149:$D$152,0)))+INDEX(W$149:W$152,MATCH(Hafnia!$E213,$D$149:$D$152,0))*INDEX(W$154:W$157,MATCH(Hafnia!$E213,$D$154:$D$157,0)))*$N213</f>
        <v>27871.445205479453</v>
      </c>
      <c r="X213" s="185">
        <f>((INDEX('FFA &amp; Spot Rates'!H$23:H$43,MATCH(Hafnia!$E213,'FFA &amp; Spot Rates'!$C$23:$C$43,0))+$H213)*(1-INDEX(X$149:X$152,MATCH(Hafnia!$E213,$D$149:$D$152,0)))+INDEX(X$149:X$152,MATCH(Hafnia!$E213,$D$149:$D$152,0))*INDEX(X$154:X$157,MATCH(Hafnia!$E213,$D$154:$D$157,0)))*$N213</f>
        <v>39053.445205479453</v>
      </c>
      <c r="Y213" s="185">
        <f t="shared" si="40"/>
        <v>33329.861832191782</v>
      </c>
      <c r="Z213" s="185"/>
      <c r="AA213" s="185"/>
      <c r="AB213" s="185"/>
      <c r="AC213" s="185"/>
      <c r="AD213" s="185"/>
      <c r="AI213" s="21"/>
      <c r="AJ213" s="21"/>
    </row>
    <row r="214" spans="3:36" s="20" customFormat="1" outlineLevel="1" x14ac:dyDescent="0.2">
      <c r="C214" s="157" t="s">
        <v>925</v>
      </c>
      <c r="D214" s="157" t="s">
        <v>15</v>
      </c>
      <c r="E214" s="157" t="s">
        <v>15</v>
      </c>
      <c r="F214" s="158" t="s">
        <v>321</v>
      </c>
      <c r="G214" s="118">
        <v>1</v>
      </c>
      <c r="H214" s="152">
        <f>INDEX(Premiums!$G$27:$G$30,MATCH(Hafnia!E214,Premiums!$E$27:$E$30,0))*G214</f>
        <v>1313.4452054794519</v>
      </c>
      <c r="I214" s="186">
        <v>49999</v>
      </c>
      <c r="J214" s="159">
        <v>2015</v>
      </c>
      <c r="K214" s="63">
        <v>2024</v>
      </c>
      <c r="L214" s="56">
        <f t="shared" si="42"/>
        <v>9</v>
      </c>
      <c r="M214" s="1">
        <f t="shared" si="41"/>
        <v>35.355636363636357</v>
      </c>
      <c r="N214" s="184">
        <v>1</v>
      </c>
      <c r="P214" s="4">
        <f>INDEX('Vessel Valuations'!F$34:F$50,MATCH($E214,'Vessel Valuations'!$C$34:$C$50,0))</f>
        <v>7.8477078477077959E-5</v>
      </c>
      <c r="Q214" s="4">
        <f>INDEX('Vessel Valuations'!G$34:G$50,MATCH($E214,'Vessel Valuations'!$C$34:$C$50,0))</f>
        <v>2.6864801864801918E-2</v>
      </c>
      <c r="R214" s="4">
        <f>INDEX('Vessel Valuations'!H$34:H$50,MATCH($E214,'Vessel Valuations'!$C$34:$C$50,0))</f>
        <v>-2.5062160062160075</v>
      </c>
      <c r="S214" s="4">
        <f>INDEX('Vessel Valuations'!I$34:I$50,MATCH($E214,'Vessel Valuations'!$C$34:$C$50,0))</f>
        <v>55.67832167832168</v>
      </c>
      <c r="U214" s="202">
        <v>32888</v>
      </c>
      <c r="V214" s="185">
        <f>((INDEX('FFA &amp; Spot Rates'!F$23:F$43,MATCH(Hafnia!$E214,'FFA &amp; Spot Rates'!$C$23:$C$43,0))+$H214)*(1-INDEX(V$149:V$152,MATCH(Hafnia!$E214,$D$149:$D$152,0)))+INDEX(V$149:V$152,MATCH(Hafnia!$E214,$D$149:$D$152,0))*INDEX(V$154:V$157,MATCH(Hafnia!$E214,$D$154:$D$157,0)))*$N214</f>
        <v>33506.556917808222</v>
      </c>
      <c r="W214" s="185">
        <f>((INDEX('FFA &amp; Spot Rates'!G$23:G$43,MATCH(Hafnia!$E214,'FFA &amp; Spot Rates'!$C$23:$C$43,0))+$H214)*(1-INDEX(W$149:W$152,MATCH(Hafnia!$E214,$D$149:$D$152,0)))+INDEX(W$149:W$152,MATCH(Hafnia!$E214,$D$149:$D$152,0))*INDEX(W$154:W$157,MATCH(Hafnia!$E214,$D$154:$D$157,0)))*$N214</f>
        <v>27871.445205479453</v>
      </c>
      <c r="X214" s="185">
        <f>((INDEX('FFA &amp; Spot Rates'!H$23:H$43,MATCH(Hafnia!$E214,'FFA &amp; Spot Rates'!$C$23:$C$43,0))+$H214)*(1-INDEX(X$149:X$152,MATCH(Hafnia!$E214,$D$149:$D$152,0)))+INDEX(X$149:X$152,MATCH(Hafnia!$E214,$D$149:$D$152,0))*INDEX(X$154:X$157,MATCH(Hafnia!$E214,$D$154:$D$157,0)))*$N214</f>
        <v>39053.445205479453</v>
      </c>
      <c r="Y214" s="185">
        <f t="shared" si="40"/>
        <v>33329.861832191782</v>
      </c>
      <c r="Z214" s="185"/>
      <c r="AA214" s="185"/>
      <c r="AB214" s="185"/>
      <c r="AC214" s="185"/>
      <c r="AD214" s="185"/>
      <c r="AI214" s="21"/>
      <c r="AJ214" s="21"/>
    </row>
    <row r="215" spans="3:36" s="20" customFormat="1" outlineLevel="1" x14ac:dyDescent="0.2">
      <c r="C215" s="157" t="s">
        <v>926</v>
      </c>
      <c r="D215" s="157" t="s">
        <v>15</v>
      </c>
      <c r="E215" s="157" t="s">
        <v>15</v>
      </c>
      <c r="F215" s="158" t="s">
        <v>321</v>
      </c>
      <c r="G215" s="118">
        <v>1</v>
      </c>
      <c r="H215" s="152">
        <f>INDEX(Premiums!$G$27:$G$30,MATCH(Hafnia!E215,Premiums!$E$27:$E$30,0))*G215</f>
        <v>1313.4452054794519</v>
      </c>
      <c r="I215" s="186">
        <v>49999</v>
      </c>
      <c r="J215" s="159">
        <v>2016</v>
      </c>
      <c r="K215" s="63">
        <v>2024</v>
      </c>
      <c r="L215" s="56">
        <f t="shared" si="42"/>
        <v>8</v>
      </c>
      <c r="M215" s="1">
        <f t="shared" si="41"/>
        <v>37.388121212121206</v>
      </c>
      <c r="N215" s="184">
        <v>1</v>
      </c>
      <c r="P215" s="4">
        <f>INDEX('Vessel Valuations'!F$34:F$50,MATCH($E215,'Vessel Valuations'!$C$34:$C$50,0))</f>
        <v>7.8477078477077959E-5</v>
      </c>
      <c r="Q215" s="4">
        <f>INDEX('Vessel Valuations'!G$34:G$50,MATCH($E215,'Vessel Valuations'!$C$34:$C$50,0))</f>
        <v>2.6864801864801918E-2</v>
      </c>
      <c r="R215" s="4">
        <f>INDEX('Vessel Valuations'!H$34:H$50,MATCH($E215,'Vessel Valuations'!$C$34:$C$50,0))</f>
        <v>-2.5062160062160075</v>
      </c>
      <c r="S215" s="4">
        <f>INDEX('Vessel Valuations'!I$34:I$50,MATCH($E215,'Vessel Valuations'!$C$34:$C$50,0))</f>
        <v>55.67832167832168</v>
      </c>
      <c r="U215" s="202">
        <v>32888</v>
      </c>
      <c r="V215" s="185">
        <f>((INDEX('FFA &amp; Spot Rates'!F$23:F$43,MATCH(Hafnia!$E215,'FFA &amp; Spot Rates'!$C$23:$C$43,0))+$H215)*(1-INDEX(V$149:V$152,MATCH(Hafnia!$E215,$D$149:$D$152,0)))+INDEX(V$149:V$152,MATCH(Hafnia!$E215,$D$149:$D$152,0))*INDEX(V$154:V$157,MATCH(Hafnia!$E215,$D$154:$D$157,0)))*$N215</f>
        <v>33506.556917808222</v>
      </c>
      <c r="W215" s="185">
        <f>((INDEX('FFA &amp; Spot Rates'!G$23:G$43,MATCH(Hafnia!$E215,'FFA &amp; Spot Rates'!$C$23:$C$43,0))+$H215)*(1-INDEX(W$149:W$152,MATCH(Hafnia!$E215,$D$149:$D$152,0)))+INDEX(W$149:W$152,MATCH(Hafnia!$E215,$D$149:$D$152,0))*INDEX(W$154:W$157,MATCH(Hafnia!$E215,$D$154:$D$157,0)))*$N215</f>
        <v>27871.445205479453</v>
      </c>
      <c r="X215" s="185">
        <f>((INDEX('FFA &amp; Spot Rates'!H$23:H$43,MATCH(Hafnia!$E215,'FFA &amp; Spot Rates'!$C$23:$C$43,0))+$H215)*(1-INDEX(X$149:X$152,MATCH(Hafnia!$E215,$D$149:$D$152,0)))+INDEX(X$149:X$152,MATCH(Hafnia!$E215,$D$149:$D$152,0))*INDEX(X$154:X$157,MATCH(Hafnia!$E215,$D$154:$D$157,0)))*$N215</f>
        <v>39053.445205479453</v>
      </c>
      <c r="Y215" s="185">
        <f t="shared" si="40"/>
        <v>33329.861832191782</v>
      </c>
      <c r="Z215" s="185"/>
      <c r="AA215" s="185"/>
      <c r="AB215" s="185"/>
      <c r="AC215" s="185"/>
      <c r="AD215" s="185"/>
      <c r="AI215" s="21"/>
      <c r="AJ215" s="21"/>
    </row>
    <row r="216" spans="3:36" s="20" customFormat="1" outlineLevel="1" x14ac:dyDescent="0.2">
      <c r="C216" s="157" t="s">
        <v>927</v>
      </c>
      <c r="D216" s="157" t="s">
        <v>15</v>
      </c>
      <c r="E216" s="157" t="s">
        <v>15</v>
      </c>
      <c r="F216" s="158" t="s">
        <v>321</v>
      </c>
      <c r="G216" s="118">
        <v>0</v>
      </c>
      <c r="H216" s="152">
        <f>INDEX(Premiums!$G$27:$G$30,MATCH(Hafnia!E216,Premiums!$E$27:$E$30,0))*G216</f>
        <v>0</v>
      </c>
      <c r="I216" s="186">
        <v>49999</v>
      </c>
      <c r="J216" s="159">
        <v>2014</v>
      </c>
      <c r="K216" s="63">
        <v>2024</v>
      </c>
      <c r="L216" s="56">
        <f t="shared" si="42"/>
        <v>10</v>
      </c>
      <c r="M216" s="1">
        <f t="shared" si="41"/>
        <v>33.38111888111888</v>
      </c>
      <c r="N216" s="184">
        <v>1</v>
      </c>
      <c r="P216" s="4">
        <f>INDEX('Vessel Valuations'!F$34:F$50,MATCH($E216,'Vessel Valuations'!$C$34:$C$50,0))</f>
        <v>7.8477078477077959E-5</v>
      </c>
      <c r="Q216" s="4">
        <f>INDEX('Vessel Valuations'!G$34:G$50,MATCH($E216,'Vessel Valuations'!$C$34:$C$50,0))</f>
        <v>2.6864801864801918E-2</v>
      </c>
      <c r="R216" s="4">
        <f>INDEX('Vessel Valuations'!H$34:H$50,MATCH($E216,'Vessel Valuations'!$C$34:$C$50,0))</f>
        <v>-2.5062160062160075</v>
      </c>
      <c r="S216" s="4">
        <f>INDEX('Vessel Valuations'!I$34:I$50,MATCH($E216,'Vessel Valuations'!$C$34:$C$50,0))</f>
        <v>55.67832167832168</v>
      </c>
      <c r="U216" s="202">
        <v>32888</v>
      </c>
      <c r="V216" s="185">
        <f>((INDEX('FFA &amp; Spot Rates'!F$23:F$43,MATCH(Hafnia!$E216,'FFA &amp; Spot Rates'!$C$23:$C$43,0))+$H216)*(1-INDEX(V$149:V$152,MATCH(Hafnia!$E216,$D$149:$D$152,0)))+INDEX(V$149:V$152,MATCH(Hafnia!$E216,$D$149:$D$152,0))*INDEX(V$154:V$157,MATCH(Hafnia!$E216,$D$154:$D$157,0)))*$N216</f>
        <v>33073.119999999995</v>
      </c>
      <c r="W216" s="185">
        <f>((INDEX('FFA &amp; Spot Rates'!G$23:G$43,MATCH(Hafnia!$E216,'FFA &amp; Spot Rates'!$C$23:$C$43,0))+$H216)*(1-INDEX(W$149:W$152,MATCH(Hafnia!$E216,$D$149:$D$152,0)))+INDEX(W$149:W$152,MATCH(Hafnia!$E216,$D$149:$D$152,0))*INDEX(W$154:W$157,MATCH(Hafnia!$E216,$D$154:$D$157,0)))*$N216</f>
        <v>26558</v>
      </c>
      <c r="X216" s="185">
        <f>((INDEX('FFA &amp; Spot Rates'!H$23:H$43,MATCH(Hafnia!$E216,'FFA &amp; Spot Rates'!$C$23:$C$43,0))+$H216)*(1-INDEX(X$149:X$152,MATCH(Hafnia!$E216,$D$149:$D$152,0)))+INDEX(X$149:X$152,MATCH(Hafnia!$E216,$D$149:$D$152,0))*INDEX(X$154:X$157,MATCH(Hafnia!$E216,$D$154:$D$157,0)))*$N216</f>
        <v>37740</v>
      </c>
      <c r="Y216" s="185">
        <f t="shared" si="40"/>
        <v>32564.78</v>
      </c>
      <c r="Z216" s="185"/>
      <c r="AA216" s="185"/>
      <c r="AB216" s="185"/>
      <c r="AC216" s="185"/>
      <c r="AD216" s="185"/>
      <c r="AI216" s="21"/>
      <c r="AJ216" s="21"/>
    </row>
    <row r="217" spans="3:36" s="20" customFormat="1" outlineLevel="1" x14ac:dyDescent="0.2">
      <c r="C217" s="157" t="s">
        <v>928</v>
      </c>
      <c r="D217" s="157" t="s">
        <v>15</v>
      </c>
      <c r="E217" s="157" t="s">
        <v>15</v>
      </c>
      <c r="F217" s="158" t="s">
        <v>321</v>
      </c>
      <c r="G217" s="118">
        <v>1</v>
      </c>
      <c r="H217" s="152">
        <f>INDEX(Premiums!$G$27:$G$30,MATCH(Hafnia!E217,Premiums!$E$27:$E$30,0))*G217</f>
        <v>1313.4452054794519</v>
      </c>
      <c r="I217" s="186">
        <v>49999</v>
      </c>
      <c r="J217" s="159">
        <v>2016</v>
      </c>
      <c r="K217" s="63">
        <v>2024</v>
      </c>
      <c r="L217" s="56">
        <f t="shared" si="42"/>
        <v>8</v>
      </c>
      <c r="M217" s="1">
        <f t="shared" si="41"/>
        <v>37.388121212121206</v>
      </c>
      <c r="N217" s="184">
        <v>1</v>
      </c>
      <c r="P217" s="4">
        <f>INDEX('Vessel Valuations'!F$34:F$50,MATCH($E217,'Vessel Valuations'!$C$34:$C$50,0))</f>
        <v>7.8477078477077959E-5</v>
      </c>
      <c r="Q217" s="4">
        <f>INDEX('Vessel Valuations'!G$34:G$50,MATCH($E217,'Vessel Valuations'!$C$34:$C$50,0))</f>
        <v>2.6864801864801918E-2</v>
      </c>
      <c r="R217" s="4">
        <f>INDEX('Vessel Valuations'!H$34:H$50,MATCH($E217,'Vessel Valuations'!$C$34:$C$50,0))</f>
        <v>-2.5062160062160075</v>
      </c>
      <c r="S217" s="4">
        <f>INDEX('Vessel Valuations'!I$34:I$50,MATCH($E217,'Vessel Valuations'!$C$34:$C$50,0))</f>
        <v>55.67832167832168</v>
      </c>
      <c r="U217" s="202">
        <v>32888</v>
      </c>
      <c r="V217" s="185">
        <f>((INDEX('FFA &amp; Spot Rates'!F$23:F$43,MATCH(Hafnia!$E217,'FFA &amp; Spot Rates'!$C$23:$C$43,0))+$H217)*(1-INDEX(V$149:V$152,MATCH(Hafnia!$E217,$D$149:$D$152,0)))+INDEX(V$149:V$152,MATCH(Hafnia!$E217,$D$149:$D$152,0))*INDEX(V$154:V$157,MATCH(Hafnia!$E217,$D$154:$D$157,0)))*$N217</f>
        <v>33506.556917808222</v>
      </c>
      <c r="W217" s="185">
        <f>((INDEX('FFA &amp; Spot Rates'!G$23:G$43,MATCH(Hafnia!$E217,'FFA &amp; Spot Rates'!$C$23:$C$43,0))+$H217)*(1-INDEX(W$149:W$152,MATCH(Hafnia!$E217,$D$149:$D$152,0)))+INDEX(W$149:W$152,MATCH(Hafnia!$E217,$D$149:$D$152,0))*INDEX(W$154:W$157,MATCH(Hafnia!$E217,$D$154:$D$157,0)))*$N217</f>
        <v>27871.445205479453</v>
      </c>
      <c r="X217" s="185">
        <f>((INDEX('FFA &amp; Spot Rates'!H$23:H$43,MATCH(Hafnia!$E217,'FFA &amp; Spot Rates'!$C$23:$C$43,0))+$H217)*(1-INDEX(X$149:X$152,MATCH(Hafnia!$E217,$D$149:$D$152,0)))+INDEX(X$149:X$152,MATCH(Hafnia!$E217,$D$149:$D$152,0))*INDEX(X$154:X$157,MATCH(Hafnia!$E217,$D$154:$D$157,0)))*$N217</f>
        <v>39053.445205479453</v>
      </c>
      <c r="Y217" s="185">
        <f t="shared" si="40"/>
        <v>33329.861832191782</v>
      </c>
      <c r="Z217" s="185"/>
      <c r="AA217" s="185"/>
      <c r="AB217" s="185"/>
      <c r="AC217" s="185"/>
      <c r="AD217" s="185"/>
      <c r="AI217" s="21"/>
      <c r="AJ217" s="21"/>
    </row>
    <row r="218" spans="3:36" s="20" customFormat="1" outlineLevel="1" x14ac:dyDescent="0.2">
      <c r="C218" s="157" t="s">
        <v>929</v>
      </c>
      <c r="D218" s="157" t="s">
        <v>15</v>
      </c>
      <c r="E218" s="157" t="s">
        <v>15</v>
      </c>
      <c r="F218" s="158" t="s">
        <v>321</v>
      </c>
      <c r="G218" s="118">
        <v>1</v>
      </c>
      <c r="H218" s="152">
        <f>INDEX(Premiums!$G$27:$G$30,MATCH(Hafnia!E218,Premiums!$E$27:$E$30,0))*G218</f>
        <v>1313.4452054794519</v>
      </c>
      <c r="I218" s="186">
        <v>49999</v>
      </c>
      <c r="J218" s="159">
        <v>2015</v>
      </c>
      <c r="K218" s="63">
        <v>2024</v>
      </c>
      <c r="L218" s="56">
        <f t="shared" si="42"/>
        <v>9</v>
      </c>
      <c r="M218" s="1">
        <f t="shared" si="41"/>
        <v>35.355636363636357</v>
      </c>
      <c r="N218" s="184">
        <v>1</v>
      </c>
      <c r="P218" s="4">
        <f>INDEX('Vessel Valuations'!F$34:F$50,MATCH($E218,'Vessel Valuations'!$C$34:$C$50,0))</f>
        <v>7.8477078477077959E-5</v>
      </c>
      <c r="Q218" s="4">
        <f>INDEX('Vessel Valuations'!G$34:G$50,MATCH($E218,'Vessel Valuations'!$C$34:$C$50,0))</f>
        <v>2.6864801864801918E-2</v>
      </c>
      <c r="R218" s="4">
        <f>INDEX('Vessel Valuations'!H$34:H$50,MATCH($E218,'Vessel Valuations'!$C$34:$C$50,0))</f>
        <v>-2.5062160062160075</v>
      </c>
      <c r="S218" s="4">
        <f>INDEX('Vessel Valuations'!I$34:I$50,MATCH($E218,'Vessel Valuations'!$C$34:$C$50,0))</f>
        <v>55.67832167832168</v>
      </c>
      <c r="U218" s="202">
        <v>32888</v>
      </c>
      <c r="V218" s="185">
        <f>((INDEX('FFA &amp; Spot Rates'!F$23:F$43,MATCH(Hafnia!$E218,'FFA &amp; Spot Rates'!$C$23:$C$43,0))+$H218)*(1-INDEX(V$149:V$152,MATCH(Hafnia!$E218,$D$149:$D$152,0)))+INDEX(V$149:V$152,MATCH(Hafnia!$E218,$D$149:$D$152,0))*INDEX(V$154:V$157,MATCH(Hafnia!$E218,$D$154:$D$157,0)))*$N218</f>
        <v>33506.556917808222</v>
      </c>
      <c r="W218" s="185">
        <f>((INDEX('FFA &amp; Spot Rates'!G$23:G$43,MATCH(Hafnia!$E218,'FFA &amp; Spot Rates'!$C$23:$C$43,0))+$H218)*(1-INDEX(W$149:W$152,MATCH(Hafnia!$E218,$D$149:$D$152,0)))+INDEX(W$149:W$152,MATCH(Hafnia!$E218,$D$149:$D$152,0))*INDEX(W$154:W$157,MATCH(Hafnia!$E218,$D$154:$D$157,0)))*$N218</f>
        <v>27871.445205479453</v>
      </c>
      <c r="X218" s="185">
        <f>((INDEX('FFA &amp; Spot Rates'!H$23:H$43,MATCH(Hafnia!$E218,'FFA &amp; Spot Rates'!$C$23:$C$43,0))+$H218)*(1-INDEX(X$149:X$152,MATCH(Hafnia!$E218,$D$149:$D$152,0)))+INDEX(X$149:X$152,MATCH(Hafnia!$E218,$D$149:$D$152,0))*INDEX(X$154:X$157,MATCH(Hafnia!$E218,$D$154:$D$157,0)))*$N218</f>
        <v>39053.445205479453</v>
      </c>
      <c r="Y218" s="185">
        <f t="shared" si="40"/>
        <v>33329.861832191782</v>
      </c>
      <c r="Z218" s="185"/>
      <c r="AA218" s="185"/>
      <c r="AB218" s="185"/>
      <c r="AC218" s="185"/>
      <c r="AD218" s="185"/>
      <c r="AI218" s="21"/>
      <c r="AJ218" s="21"/>
    </row>
    <row r="219" spans="3:36" s="20" customFormat="1" outlineLevel="1" x14ac:dyDescent="0.2">
      <c r="C219" s="157" t="s">
        <v>930</v>
      </c>
      <c r="D219" s="157" t="s">
        <v>15</v>
      </c>
      <c r="E219" s="157" t="s">
        <v>15</v>
      </c>
      <c r="F219" s="158" t="s">
        <v>321</v>
      </c>
      <c r="G219" s="118">
        <v>0</v>
      </c>
      <c r="H219" s="152">
        <f>INDEX(Premiums!$G$27:$G$30,MATCH(Hafnia!E219,Premiums!$E$27:$E$30,0))*G219</f>
        <v>0</v>
      </c>
      <c r="I219" s="186">
        <v>49999</v>
      </c>
      <c r="J219" s="159">
        <v>2014</v>
      </c>
      <c r="K219" s="63">
        <v>2024</v>
      </c>
      <c r="L219" s="56">
        <f t="shared" si="42"/>
        <v>10</v>
      </c>
      <c r="M219" s="1">
        <f t="shared" si="41"/>
        <v>33.38111888111888</v>
      </c>
      <c r="N219" s="184">
        <v>1</v>
      </c>
      <c r="P219" s="4">
        <f>INDEX('Vessel Valuations'!F$34:F$50,MATCH($E219,'Vessel Valuations'!$C$34:$C$50,0))</f>
        <v>7.8477078477077959E-5</v>
      </c>
      <c r="Q219" s="4">
        <f>INDEX('Vessel Valuations'!G$34:G$50,MATCH($E219,'Vessel Valuations'!$C$34:$C$50,0))</f>
        <v>2.6864801864801918E-2</v>
      </c>
      <c r="R219" s="4">
        <f>INDEX('Vessel Valuations'!H$34:H$50,MATCH($E219,'Vessel Valuations'!$C$34:$C$50,0))</f>
        <v>-2.5062160062160075</v>
      </c>
      <c r="S219" s="4">
        <f>INDEX('Vessel Valuations'!I$34:I$50,MATCH($E219,'Vessel Valuations'!$C$34:$C$50,0))</f>
        <v>55.67832167832168</v>
      </c>
      <c r="U219" s="202">
        <v>32888</v>
      </c>
      <c r="V219" s="185">
        <f>((INDEX('FFA &amp; Spot Rates'!F$23:F$43,MATCH(Hafnia!$E219,'FFA &amp; Spot Rates'!$C$23:$C$43,0))+$H219)*(1-INDEX(V$149:V$152,MATCH(Hafnia!$E219,$D$149:$D$152,0)))+INDEX(V$149:V$152,MATCH(Hafnia!$E219,$D$149:$D$152,0))*INDEX(V$154:V$157,MATCH(Hafnia!$E219,$D$154:$D$157,0)))*$N219</f>
        <v>33073.119999999995</v>
      </c>
      <c r="W219" s="185">
        <f>((INDEX('FFA &amp; Spot Rates'!G$23:G$43,MATCH(Hafnia!$E219,'FFA &amp; Spot Rates'!$C$23:$C$43,0))+$H219)*(1-INDEX(W$149:W$152,MATCH(Hafnia!$E219,$D$149:$D$152,0)))+INDEX(W$149:W$152,MATCH(Hafnia!$E219,$D$149:$D$152,0))*INDEX(W$154:W$157,MATCH(Hafnia!$E219,$D$154:$D$157,0)))*$N219</f>
        <v>26558</v>
      </c>
      <c r="X219" s="185">
        <f>((INDEX('FFA &amp; Spot Rates'!H$23:H$43,MATCH(Hafnia!$E219,'FFA &amp; Spot Rates'!$C$23:$C$43,0))+$H219)*(1-INDEX(X$149:X$152,MATCH(Hafnia!$E219,$D$149:$D$152,0)))+INDEX(X$149:X$152,MATCH(Hafnia!$E219,$D$149:$D$152,0))*INDEX(X$154:X$157,MATCH(Hafnia!$E219,$D$154:$D$157,0)))*$N219</f>
        <v>37740</v>
      </c>
      <c r="Y219" s="185">
        <f t="shared" si="40"/>
        <v>32564.78</v>
      </c>
      <c r="Z219" s="185"/>
      <c r="AA219" s="185"/>
      <c r="AB219" s="185"/>
      <c r="AC219" s="185"/>
      <c r="AD219" s="185"/>
      <c r="AI219" s="21"/>
      <c r="AJ219" s="21"/>
    </row>
    <row r="220" spans="3:36" s="20" customFormat="1" outlineLevel="1" x14ac:dyDescent="0.2">
      <c r="C220" s="157" t="s">
        <v>931</v>
      </c>
      <c r="D220" s="157" t="s">
        <v>15</v>
      </c>
      <c r="E220" s="157" t="s">
        <v>15</v>
      </c>
      <c r="F220" s="158" t="s">
        <v>321</v>
      </c>
      <c r="G220" s="118">
        <v>0</v>
      </c>
      <c r="H220" s="152">
        <f>INDEX(Premiums!$G$27:$G$30,MATCH(Hafnia!E220,Premiums!$E$27:$E$30,0))*G220</f>
        <v>0</v>
      </c>
      <c r="I220" s="186">
        <v>49999</v>
      </c>
      <c r="J220" s="159">
        <v>2012</v>
      </c>
      <c r="K220" s="63">
        <v>2024</v>
      </c>
      <c r="L220" s="56">
        <f t="shared" si="42"/>
        <v>12</v>
      </c>
      <c r="M220" s="1">
        <f t="shared" si="41"/>
        <v>29.607869463869456</v>
      </c>
      <c r="N220" s="184">
        <v>1</v>
      </c>
      <c r="P220" s="4">
        <f>INDEX('Vessel Valuations'!F$34:F$50,MATCH($E220,'Vessel Valuations'!$C$34:$C$50,0))</f>
        <v>7.8477078477077959E-5</v>
      </c>
      <c r="Q220" s="4">
        <f>INDEX('Vessel Valuations'!G$34:G$50,MATCH($E220,'Vessel Valuations'!$C$34:$C$50,0))</f>
        <v>2.6864801864801918E-2</v>
      </c>
      <c r="R220" s="4">
        <f>INDEX('Vessel Valuations'!H$34:H$50,MATCH($E220,'Vessel Valuations'!$C$34:$C$50,0))</f>
        <v>-2.5062160062160075</v>
      </c>
      <c r="S220" s="4">
        <f>INDEX('Vessel Valuations'!I$34:I$50,MATCH($E220,'Vessel Valuations'!$C$34:$C$50,0))</f>
        <v>55.67832167832168</v>
      </c>
      <c r="U220" s="202">
        <v>32888</v>
      </c>
      <c r="V220" s="185">
        <f>((INDEX('FFA &amp; Spot Rates'!F$23:F$43,MATCH(Hafnia!$E220,'FFA &amp; Spot Rates'!$C$23:$C$43,0))+$H220)*(1-INDEX(V$149:V$152,MATCH(Hafnia!$E220,$D$149:$D$152,0)))+INDEX(V$149:V$152,MATCH(Hafnia!$E220,$D$149:$D$152,0))*INDEX(V$154:V$157,MATCH(Hafnia!$E220,$D$154:$D$157,0)))*$N220</f>
        <v>33073.119999999995</v>
      </c>
      <c r="W220" s="185">
        <f>((INDEX('FFA &amp; Spot Rates'!G$23:G$43,MATCH(Hafnia!$E220,'FFA &amp; Spot Rates'!$C$23:$C$43,0))+$H220)*(1-INDEX(W$149:W$152,MATCH(Hafnia!$E220,$D$149:$D$152,0)))+INDEX(W$149:W$152,MATCH(Hafnia!$E220,$D$149:$D$152,0))*INDEX(W$154:W$157,MATCH(Hafnia!$E220,$D$154:$D$157,0)))*$N220</f>
        <v>26558</v>
      </c>
      <c r="X220" s="185">
        <f>((INDEX('FFA &amp; Spot Rates'!H$23:H$43,MATCH(Hafnia!$E220,'FFA &amp; Spot Rates'!$C$23:$C$43,0))+$H220)*(1-INDEX(X$149:X$152,MATCH(Hafnia!$E220,$D$149:$D$152,0)))+INDEX(X$149:X$152,MATCH(Hafnia!$E220,$D$149:$D$152,0))*INDEX(X$154:X$157,MATCH(Hafnia!$E220,$D$154:$D$157,0)))*$N220</f>
        <v>37740</v>
      </c>
      <c r="Y220" s="185">
        <f t="shared" si="40"/>
        <v>32564.78</v>
      </c>
      <c r="Z220" s="185"/>
      <c r="AA220" s="185"/>
      <c r="AB220" s="185"/>
      <c r="AC220" s="185"/>
      <c r="AD220" s="185"/>
      <c r="AI220" s="21"/>
      <c r="AJ220" s="21"/>
    </row>
    <row r="221" spans="3:36" s="20" customFormat="1" outlineLevel="1" x14ac:dyDescent="0.2">
      <c r="C221" s="157" t="s">
        <v>932</v>
      </c>
      <c r="D221" s="157" t="s">
        <v>15</v>
      </c>
      <c r="E221" s="157" t="s">
        <v>15</v>
      </c>
      <c r="F221" s="158" t="s">
        <v>321</v>
      </c>
      <c r="G221" s="118">
        <v>1</v>
      </c>
      <c r="H221" s="152">
        <f>INDEX(Premiums!$G$27:$G$30,MATCH(Hafnia!E221,Premiums!$E$27:$E$30,0))*G221</f>
        <v>1313.4452054794519</v>
      </c>
      <c r="I221" s="186">
        <v>49999</v>
      </c>
      <c r="J221" s="159">
        <v>2022</v>
      </c>
      <c r="K221" s="63">
        <v>2024</v>
      </c>
      <c r="L221" s="56">
        <f t="shared" si="42"/>
        <v>2</v>
      </c>
      <c r="M221" s="1">
        <f t="shared" si="41"/>
        <v>50.773976689976692</v>
      </c>
      <c r="N221" s="184">
        <v>1</v>
      </c>
      <c r="P221" s="4">
        <f>INDEX('Vessel Valuations'!F$34:F$50,MATCH($E221,'Vessel Valuations'!$C$34:$C$50,0))</f>
        <v>7.8477078477077959E-5</v>
      </c>
      <c r="Q221" s="4">
        <f>INDEX('Vessel Valuations'!G$34:G$50,MATCH($E221,'Vessel Valuations'!$C$34:$C$50,0))</f>
        <v>2.6864801864801918E-2</v>
      </c>
      <c r="R221" s="4">
        <f>INDEX('Vessel Valuations'!H$34:H$50,MATCH($E221,'Vessel Valuations'!$C$34:$C$50,0))</f>
        <v>-2.5062160062160075</v>
      </c>
      <c r="S221" s="4">
        <f>INDEX('Vessel Valuations'!I$34:I$50,MATCH($E221,'Vessel Valuations'!$C$34:$C$50,0))</f>
        <v>55.67832167832168</v>
      </c>
      <c r="U221" s="202">
        <v>32888</v>
      </c>
      <c r="V221" s="185">
        <f>((INDEX('FFA &amp; Spot Rates'!F$23:F$43,MATCH(Hafnia!$E221,'FFA &amp; Spot Rates'!$C$23:$C$43,0))+$H221)*(1-INDEX(V$149:V$152,MATCH(Hafnia!$E221,$D$149:$D$152,0)))+INDEX(V$149:V$152,MATCH(Hafnia!$E221,$D$149:$D$152,0))*INDEX(V$154:V$157,MATCH(Hafnia!$E221,$D$154:$D$157,0)))*$N221</f>
        <v>33506.556917808222</v>
      </c>
      <c r="W221" s="185">
        <f>((INDEX('FFA &amp; Spot Rates'!G$23:G$43,MATCH(Hafnia!$E221,'FFA &amp; Spot Rates'!$C$23:$C$43,0))+$H221)*(1-INDEX(W$149:W$152,MATCH(Hafnia!$E221,$D$149:$D$152,0)))+INDEX(W$149:W$152,MATCH(Hafnia!$E221,$D$149:$D$152,0))*INDEX(W$154:W$157,MATCH(Hafnia!$E221,$D$154:$D$157,0)))*$N221</f>
        <v>27871.445205479453</v>
      </c>
      <c r="X221" s="185">
        <f>((INDEX('FFA &amp; Spot Rates'!H$23:H$43,MATCH(Hafnia!$E221,'FFA &amp; Spot Rates'!$C$23:$C$43,0))+$H221)*(1-INDEX(X$149:X$152,MATCH(Hafnia!$E221,$D$149:$D$152,0)))+INDEX(X$149:X$152,MATCH(Hafnia!$E221,$D$149:$D$152,0))*INDEX(X$154:X$157,MATCH(Hafnia!$E221,$D$154:$D$157,0)))*$N221</f>
        <v>39053.445205479453</v>
      </c>
      <c r="Y221" s="185">
        <f t="shared" si="40"/>
        <v>33329.861832191782</v>
      </c>
      <c r="Z221" s="185"/>
      <c r="AA221" s="185"/>
      <c r="AB221" s="185"/>
      <c r="AC221" s="185"/>
      <c r="AD221" s="185"/>
      <c r="AI221" s="21"/>
      <c r="AJ221" s="21"/>
    </row>
    <row r="222" spans="3:36" s="20" customFormat="1" outlineLevel="1" x14ac:dyDescent="0.2">
      <c r="C222" s="157" t="s">
        <v>933</v>
      </c>
      <c r="D222" s="157" t="s">
        <v>15</v>
      </c>
      <c r="E222" s="157" t="s">
        <v>15</v>
      </c>
      <c r="F222" s="158" t="s">
        <v>321</v>
      </c>
      <c r="G222" s="118">
        <v>1</v>
      </c>
      <c r="H222" s="152">
        <f>INDEX(Premiums!$G$27:$G$30,MATCH(Hafnia!E222,Premiums!$E$27:$E$30,0))*G222</f>
        <v>1313.4452054794519</v>
      </c>
      <c r="I222" s="186">
        <v>49999</v>
      </c>
      <c r="J222" s="159">
        <v>2021</v>
      </c>
      <c r="K222" s="63">
        <v>2024</v>
      </c>
      <c r="L222" s="56">
        <f t="shared" si="42"/>
        <v>3</v>
      </c>
      <c r="M222" s="1">
        <f t="shared" si="41"/>
        <v>24.201787878787879</v>
      </c>
      <c r="N222" s="184">
        <v>0.5</v>
      </c>
      <c r="P222" s="4">
        <f>INDEX('Vessel Valuations'!F$34:F$50,MATCH($E222,'Vessel Valuations'!$C$34:$C$50,0))</f>
        <v>7.8477078477077959E-5</v>
      </c>
      <c r="Q222" s="4">
        <f>INDEX('Vessel Valuations'!G$34:G$50,MATCH($E222,'Vessel Valuations'!$C$34:$C$50,0))</f>
        <v>2.6864801864801918E-2</v>
      </c>
      <c r="R222" s="4">
        <f>INDEX('Vessel Valuations'!H$34:H$50,MATCH($E222,'Vessel Valuations'!$C$34:$C$50,0))</f>
        <v>-2.5062160062160075</v>
      </c>
      <c r="S222" s="4">
        <f>INDEX('Vessel Valuations'!I$34:I$50,MATCH($E222,'Vessel Valuations'!$C$34:$C$50,0))</f>
        <v>55.67832167832168</v>
      </c>
      <c r="U222" s="202">
        <v>32888</v>
      </c>
      <c r="V222" s="185">
        <f>((INDEX('FFA &amp; Spot Rates'!F$23:F$43,MATCH(Hafnia!$E222,'FFA &amp; Spot Rates'!$C$23:$C$43,0))+$H222)*(1-INDEX(V$149:V$152,MATCH(Hafnia!$E222,$D$149:$D$152,0)))+INDEX(V$149:V$152,MATCH(Hafnia!$E222,$D$149:$D$152,0))*INDEX(V$154:V$157,MATCH(Hafnia!$E222,$D$154:$D$157,0)))*$N222</f>
        <v>16753.278458904111</v>
      </c>
      <c r="W222" s="185">
        <f>((INDEX('FFA &amp; Spot Rates'!G$23:G$43,MATCH(Hafnia!$E222,'FFA &amp; Spot Rates'!$C$23:$C$43,0))+$H222)*(1-INDEX(W$149:W$152,MATCH(Hafnia!$E222,$D$149:$D$152,0)))+INDEX(W$149:W$152,MATCH(Hafnia!$E222,$D$149:$D$152,0))*INDEX(W$154:W$157,MATCH(Hafnia!$E222,$D$154:$D$157,0)))*$N222</f>
        <v>13935.722602739726</v>
      </c>
      <c r="X222" s="185">
        <f>((INDEX('FFA &amp; Spot Rates'!H$23:H$43,MATCH(Hafnia!$E222,'FFA &amp; Spot Rates'!$C$23:$C$43,0))+$H222)*(1-INDEX(X$149:X$152,MATCH(Hafnia!$E222,$D$149:$D$152,0)))+INDEX(X$149:X$152,MATCH(Hafnia!$E222,$D$149:$D$152,0))*INDEX(X$154:X$157,MATCH(Hafnia!$E222,$D$154:$D$157,0)))*$N222</f>
        <v>19526.722602739726</v>
      </c>
      <c r="Y222" s="185">
        <f t="shared" si="40"/>
        <v>20775.930916095891</v>
      </c>
      <c r="Z222" s="185"/>
      <c r="AA222" s="185"/>
      <c r="AB222" s="185"/>
      <c r="AC222" s="185"/>
      <c r="AD222" s="185"/>
      <c r="AI222" s="21"/>
      <c r="AJ222" s="21"/>
    </row>
    <row r="223" spans="3:36" s="20" customFormat="1" outlineLevel="1" x14ac:dyDescent="0.2">
      <c r="C223" s="157" t="s">
        <v>934</v>
      </c>
      <c r="D223" s="157" t="s">
        <v>15</v>
      </c>
      <c r="E223" s="157" t="s">
        <v>15</v>
      </c>
      <c r="F223" s="158" t="s">
        <v>321</v>
      </c>
      <c r="G223" s="118">
        <v>0</v>
      </c>
      <c r="H223" s="152">
        <f>INDEX(Premiums!$G$27:$G$30,MATCH(Hafnia!E223,Premiums!$E$27:$E$30,0))*G223</f>
        <v>0</v>
      </c>
      <c r="I223" s="186">
        <v>49999</v>
      </c>
      <c r="J223" s="159">
        <v>2014</v>
      </c>
      <c r="K223" s="63">
        <v>2024</v>
      </c>
      <c r="L223" s="56">
        <f t="shared" si="42"/>
        <v>10</v>
      </c>
      <c r="M223" s="1">
        <f t="shared" si="41"/>
        <v>33.38111888111888</v>
      </c>
      <c r="N223" s="184">
        <v>1</v>
      </c>
      <c r="P223" s="4">
        <f>INDEX('Vessel Valuations'!F$34:F$50,MATCH($E223,'Vessel Valuations'!$C$34:$C$50,0))</f>
        <v>7.8477078477077959E-5</v>
      </c>
      <c r="Q223" s="4">
        <f>INDEX('Vessel Valuations'!G$34:G$50,MATCH($E223,'Vessel Valuations'!$C$34:$C$50,0))</f>
        <v>2.6864801864801918E-2</v>
      </c>
      <c r="R223" s="4">
        <f>INDEX('Vessel Valuations'!H$34:H$50,MATCH($E223,'Vessel Valuations'!$C$34:$C$50,0))</f>
        <v>-2.5062160062160075</v>
      </c>
      <c r="S223" s="4">
        <f>INDEX('Vessel Valuations'!I$34:I$50,MATCH($E223,'Vessel Valuations'!$C$34:$C$50,0))</f>
        <v>55.67832167832168</v>
      </c>
      <c r="U223" s="202">
        <v>32888</v>
      </c>
      <c r="V223" s="185">
        <f>((INDEX('FFA &amp; Spot Rates'!F$23:F$43,MATCH(Hafnia!$E223,'FFA &amp; Spot Rates'!$C$23:$C$43,0))+$H223)*(1-INDEX(V$149:V$152,MATCH(Hafnia!$E223,$D$149:$D$152,0)))+INDEX(V$149:V$152,MATCH(Hafnia!$E223,$D$149:$D$152,0))*INDEX(V$154:V$157,MATCH(Hafnia!$E223,$D$154:$D$157,0)))*$N223</f>
        <v>33073.119999999995</v>
      </c>
      <c r="W223" s="185">
        <f>((INDEX('FFA &amp; Spot Rates'!G$23:G$43,MATCH(Hafnia!$E223,'FFA &amp; Spot Rates'!$C$23:$C$43,0))+$H223)*(1-INDEX(W$149:W$152,MATCH(Hafnia!$E223,$D$149:$D$152,0)))+INDEX(W$149:W$152,MATCH(Hafnia!$E223,$D$149:$D$152,0))*INDEX(W$154:W$157,MATCH(Hafnia!$E223,$D$154:$D$157,0)))*$N223</f>
        <v>26558</v>
      </c>
      <c r="X223" s="185">
        <f>((INDEX('FFA &amp; Spot Rates'!H$23:H$43,MATCH(Hafnia!$E223,'FFA &amp; Spot Rates'!$C$23:$C$43,0))+$H223)*(1-INDEX(X$149:X$152,MATCH(Hafnia!$E223,$D$149:$D$152,0)))+INDEX(X$149:X$152,MATCH(Hafnia!$E223,$D$149:$D$152,0))*INDEX(X$154:X$157,MATCH(Hafnia!$E223,$D$154:$D$157,0)))*$N223</f>
        <v>37740</v>
      </c>
      <c r="Y223" s="185">
        <f t="shared" si="40"/>
        <v>32564.78</v>
      </c>
      <c r="Z223" s="185"/>
      <c r="AA223" s="185"/>
      <c r="AB223" s="185"/>
      <c r="AC223" s="185"/>
      <c r="AD223" s="185"/>
      <c r="AI223" s="21"/>
      <c r="AJ223" s="21"/>
    </row>
    <row r="224" spans="3:36" s="20" customFormat="1" outlineLevel="1" x14ac:dyDescent="0.2">
      <c r="C224" s="157" t="s">
        <v>935</v>
      </c>
      <c r="D224" s="157" t="s">
        <v>15</v>
      </c>
      <c r="E224" s="157" t="s">
        <v>15</v>
      </c>
      <c r="F224" s="158" t="s">
        <v>321</v>
      </c>
      <c r="G224" s="118">
        <v>0</v>
      </c>
      <c r="H224" s="152">
        <f>INDEX(Premiums!$G$27:$G$30,MATCH(Hafnia!E224,Premiums!$E$27:$E$30,0))*G224</f>
        <v>0</v>
      </c>
      <c r="I224" s="186">
        <v>49999</v>
      </c>
      <c r="J224" s="159">
        <v>2011</v>
      </c>
      <c r="K224" s="63">
        <v>2024</v>
      </c>
      <c r="L224" s="56">
        <f t="shared" ref="L224:L255" si="43">+(K224-J224)</f>
        <v>13</v>
      </c>
      <c r="M224" s="1">
        <f t="shared" si="41"/>
        <v>27.810079254079248</v>
      </c>
      <c r="N224" s="184">
        <v>1</v>
      </c>
      <c r="P224" s="4">
        <f>INDEX('Vessel Valuations'!F$34:F$50,MATCH($E224,'Vessel Valuations'!$C$34:$C$50,0))</f>
        <v>7.8477078477077959E-5</v>
      </c>
      <c r="Q224" s="4">
        <f>INDEX('Vessel Valuations'!G$34:G$50,MATCH($E224,'Vessel Valuations'!$C$34:$C$50,0))</f>
        <v>2.6864801864801918E-2</v>
      </c>
      <c r="R224" s="4">
        <f>INDEX('Vessel Valuations'!H$34:H$50,MATCH($E224,'Vessel Valuations'!$C$34:$C$50,0))</f>
        <v>-2.5062160062160075</v>
      </c>
      <c r="S224" s="4">
        <f>INDEX('Vessel Valuations'!I$34:I$50,MATCH($E224,'Vessel Valuations'!$C$34:$C$50,0))</f>
        <v>55.67832167832168</v>
      </c>
      <c r="U224" s="202">
        <v>32888</v>
      </c>
      <c r="V224" s="185">
        <f>((INDEX('FFA &amp; Spot Rates'!F$23:F$43,MATCH(Hafnia!$E224,'FFA &amp; Spot Rates'!$C$23:$C$43,0))+$H224)*(1-INDEX(V$149:V$152,MATCH(Hafnia!$E224,$D$149:$D$152,0)))+INDEX(V$149:V$152,MATCH(Hafnia!$E224,$D$149:$D$152,0))*INDEX(V$154:V$157,MATCH(Hafnia!$E224,$D$154:$D$157,0)))*$N224</f>
        <v>33073.119999999995</v>
      </c>
      <c r="W224" s="185">
        <f>((INDEX('FFA &amp; Spot Rates'!G$23:G$43,MATCH(Hafnia!$E224,'FFA &amp; Spot Rates'!$C$23:$C$43,0))+$H224)*(1-INDEX(W$149:W$152,MATCH(Hafnia!$E224,$D$149:$D$152,0)))+INDEX(W$149:W$152,MATCH(Hafnia!$E224,$D$149:$D$152,0))*INDEX(W$154:W$157,MATCH(Hafnia!$E224,$D$154:$D$157,0)))*$N224</f>
        <v>26558</v>
      </c>
      <c r="X224" s="185">
        <f>((INDEX('FFA &amp; Spot Rates'!H$23:H$43,MATCH(Hafnia!$E224,'FFA &amp; Spot Rates'!$C$23:$C$43,0))+$H224)*(1-INDEX(X$149:X$152,MATCH(Hafnia!$E224,$D$149:$D$152,0)))+INDEX(X$149:X$152,MATCH(Hafnia!$E224,$D$149:$D$152,0))*INDEX(X$154:X$157,MATCH(Hafnia!$E224,$D$154:$D$157,0)))*$N224</f>
        <v>37740</v>
      </c>
      <c r="Y224" s="185">
        <f t="shared" si="40"/>
        <v>32564.78</v>
      </c>
      <c r="Z224" s="185"/>
      <c r="AA224" s="185"/>
      <c r="AB224" s="185"/>
      <c r="AC224" s="185"/>
      <c r="AD224" s="185"/>
      <c r="AI224" s="21"/>
      <c r="AJ224" s="21"/>
    </row>
    <row r="225" spans="3:36" s="20" customFormat="1" outlineLevel="1" x14ac:dyDescent="0.2">
      <c r="C225" s="157" t="s">
        <v>936</v>
      </c>
      <c r="D225" s="157" t="s">
        <v>15</v>
      </c>
      <c r="E225" s="157" t="s">
        <v>15</v>
      </c>
      <c r="F225" s="158" t="s">
        <v>321</v>
      </c>
      <c r="G225" s="118">
        <v>0</v>
      </c>
      <c r="H225" s="152">
        <f>INDEX(Premiums!$G$27:$G$30,MATCH(Hafnia!E225,Premiums!$E$27:$E$30,0))*G225</f>
        <v>0</v>
      </c>
      <c r="I225" s="186">
        <v>49999</v>
      </c>
      <c r="J225" s="159">
        <v>2011</v>
      </c>
      <c r="K225" s="63">
        <v>2024</v>
      </c>
      <c r="L225" s="56">
        <f t="shared" si="43"/>
        <v>13</v>
      </c>
      <c r="M225" s="1">
        <f t="shared" ref="M225:M288" si="44">(P225*L225^3+Q225*L225^2+R225*L225+S225)*N225</f>
        <v>27.810079254079248</v>
      </c>
      <c r="N225" s="184">
        <v>1</v>
      </c>
      <c r="P225" s="4">
        <f>INDEX('Vessel Valuations'!F$34:F$50,MATCH($E225,'Vessel Valuations'!$C$34:$C$50,0))</f>
        <v>7.8477078477077959E-5</v>
      </c>
      <c r="Q225" s="4">
        <f>INDEX('Vessel Valuations'!G$34:G$50,MATCH($E225,'Vessel Valuations'!$C$34:$C$50,0))</f>
        <v>2.6864801864801918E-2</v>
      </c>
      <c r="R225" s="4">
        <f>INDEX('Vessel Valuations'!H$34:H$50,MATCH($E225,'Vessel Valuations'!$C$34:$C$50,0))</f>
        <v>-2.5062160062160075</v>
      </c>
      <c r="S225" s="4">
        <f>INDEX('Vessel Valuations'!I$34:I$50,MATCH($E225,'Vessel Valuations'!$C$34:$C$50,0))</f>
        <v>55.67832167832168</v>
      </c>
      <c r="U225" s="202">
        <v>32888</v>
      </c>
      <c r="V225" s="185">
        <f>((INDEX('FFA &amp; Spot Rates'!F$23:F$43,MATCH(Hafnia!$E225,'FFA &amp; Spot Rates'!$C$23:$C$43,0))+$H225)*(1-INDEX(V$149:V$152,MATCH(Hafnia!$E225,$D$149:$D$152,0)))+INDEX(V$149:V$152,MATCH(Hafnia!$E225,$D$149:$D$152,0))*INDEX(V$154:V$157,MATCH(Hafnia!$E225,$D$154:$D$157,0)))*$N225</f>
        <v>33073.119999999995</v>
      </c>
      <c r="W225" s="185">
        <f>((INDEX('FFA &amp; Spot Rates'!G$23:G$43,MATCH(Hafnia!$E225,'FFA &amp; Spot Rates'!$C$23:$C$43,0))+$H225)*(1-INDEX(W$149:W$152,MATCH(Hafnia!$E225,$D$149:$D$152,0)))+INDEX(W$149:W$152,MATCH(Hafnia!$E225,$D$149:$D$152,0))*INDEX(W$154:W$157,MATCH(Hafnia!$E225,$D$154:$D$157,0)))*$N225</f>
        <v>26558</v>
      </c>
      <c r="X225" s="185">
        <f>((INDEX('FFA &amp; Spot Rates'!H$23:H$43,MATCH(Hafnia!$E225,'FFA &amp; Spot Rates'!$C$23:$C$43,0))+$H225)*(1-INDEX(X$149:X$152,MATCH(Hafnia!$E225,$D$149:$D$152,0)))+INDEX(X$149:X$152,MATCH(Hafnia!$E225,$D$149:$D$152,0))*INDEX(X$154:X$157,MATCH(Hafnia!$E225,$D$154:$D$157,0)))*$N225</f>
        <v>37740</v>
      </c>
      <c r="Y225" s="185">
        <f t="shared" ref="Y225:Y278" si="45">AVERAGE(U225:X225)</f>
        <v>32564.78</v>
      </c>
      <c r="Z225" s="185"/>
      <c r="AA225" s="185"/>
      <c r="AB225" s="185"/>
      <c r="AC225" s="185"/>
      <c r="AD225" s="185"/>
      <c r="AI225" s="21"/>
      <c r="AJ225" s="21"/>
    </row>
    <row r="226" spans="3:36" s="20" customFormat="1" outlineLevel="1" x14ac:dyDescent="0.2">
      <c r="C226" s="157" t="s">
        <v>937</v>
      </c>
      <c r="D226" s="157" t="s">
        <v>15</v>
      </c>
      <c r="E226" s="157" t="s">
        <v>15</v>
      </c>
      <c r="F226" s="158" t="s">
        <v>321</v>
      </c>
      <c r="G226" s="118">
        <v>0</v>
      </c>
      <c r="H226" s="152">
        <f>INDEX(Premiums!$G$27:$G$30,MATCH(Hafnia!E226,Premiums!$E$27:$E$30,0))*G226</f>
        <v>0</v>
      </c>
      <c r="I226" s="186">
        <v>49999</v>
      </c>
      <c r="J226" s="159">
        <v>2010</v>
      </c>
      <c r="K226" s="63">
        <v>2024</v>
      </c>
      <c r="L226" s="56">
        <f t="shared" si="43"/>
        <v>14</v>
      </c>
      <c r="M226" s="1">
        <f t="shared" si="44"/>
        <v>26.072139860139853</v>
      </c>
      <c r="N226" s="184">
        <v>1</v>
      </c>
      <c r="P226" s="4">
        <f>INDEX('Vessel Valuations'!F$34:F$50,MATCH($E226,'Vessel Valuations'!$C$34:$C$50,0))</f>
        <v>7.8477078477077959E-5</v>
      </c>
      <c r="Q226" s="4">
        <f>INDEX('Vessel Valuations'!G$34:G$50,MATCH($E226,'Vessel Valuations'!$C$34:$C$50,0))</f>
        <v>2.6864801864801918E-2</v>
      </c>
      <c r="R226" s="4">
        <f>INDEX('Vessel Valuations'!H$34:H$50,MATCH($E226,'Vessel Valuations'!$C$34:$C$50,0))</f>
        <v>-2.5062160062160075</v>
      </c>
      <c r="S226" s="4">
        <f>INDEX('Vessel Valuations'!I$34:I$50,MATCH($E226,'Vessel Valuations'!$C$34:$C$50,0))</f>
        <v>55.67832167832168</v>
      </c>
      <c r="U226" s="202">
        <v>32888</v>
      </c>
      <c r="V226" s="185">
        <f>((INDEX('FFA &amp; Spot Rates'!F$23:F$43,MATCH(Hafnia!$E226,'FFA &amp; Spot Rates'!$C$23:$C$43,0))+$H226)*(1-INDEX(V$149:V$152,MATCH(Hafnia!$E226,$D$149:$D$152,0)))+INDEX(V$149:V$152,MATCH(Hafnia!$E226,$D$149:$D$152,0))*INDEX(V$154:V$157,MATCH(Hafnia!$E226,$D$154:$D$157,0)))*$N226</f>
        <v>33073.119999999995</v>
      </c>
      <c r="W226" s="185">
        <f>((INDEX('FFA &amp; Spot Rates'!G$23:G$43,MATCH(Hafnia!$E226,'FFA &amp; Spot Rates'!$C$23:$C$43,0))+$H226)*(1-INDEX(W$149:W$152,MATCH(Hafnia!$E226,$D$149:$D$152,0)))+INDEX(W$149:W$152,MATCH(Hafnia!$E226,$D$149:$D$152,0))*INDEX(W$154:W$157,MATCH(Hafnia!$E226,$D$154:$D$157,0)))*$N226</f>
        <v>26558</v>
      </c>
      <c r="X226" s="185">
        <f>((INDEX('FFA &amp; Spot Rates'!H$23:H$43,MATCH(Hafnia!$E226,'FFA &amp; Spot Rates'!$C$23:$C$43,0))+$H226)*(1-INDEX(X$149:X$152,MATCH(Hafnia!$E226,$D$149:$D$152,0)))+INDEX(X$149:X$152,MATCH(Hafnia!$E226,$D$149:$D$152,0))*INDEX(X$154:X$157,MATCH(Hafnia!$E226,$D$154:$D$157,0)))*$N226</f>
        <v>37740</v>
      </c>
      <c r="Y226" s="185">
        <f t="shared" si="45"/>
        <v>32564.78</v>
      </c>
      <c r="Z226" s="185"/>
      <c r="AA226" s="185"/>
      <c r="AB226" s="185"/>
      <c r="AC226" s="185"/>
      <c r="AD226" s="185"/>
      <c r="AI226" s="21"/>
      <c r="AJ226" s="21"/>
    </row>
    <row r="227" spans="3:36" s="20" customFormat="1" outlineLevel="1" x14ac:dyDescent="0.2">
      <c r="C227" s="157" t="s">
        <v>938</v>
      </c>
      <c r="D227" s="157" t="s">
        <v>15</v>
      </c>
      <c r="E227" s="157" t="s">
        <v>15</v>
      </c>
      <c r="F227" s="158" t="s">
        <v>321</v>
      </c>
      <c r="G227" s="118">
        <v>0</v>
      </c>
      <c r="H227" s="152">
        <f>INDEX(Premiums!$G$27:$G$30,MATCH(Hafnia!E227,Premiums!$E$27:$E$30,0))*G227</f>
        <v>0</v>
      </c>
      <c r="I227" s="186">
        <v>49999</v>
      </c>
      <c r="J227" s="159">
        <v>2012</v>
      </c>
      <c r="K227" s="63">
        <v>2024</v>
      </c>
      <c r="L227" s="56">
        <f t="shared" si="43"/>
        <v>12</v>
      </c>
      <c r="M227" s="1">
        <f t="shared" si="44"/>
        <v>29.607869463869456</v>
      </c>
      <c r="N227" s="184">
        <v>1</v>
      </c>
      <c r="P227" s="4">
        <f>INDEX('Vessel Valuations'!F$34:F$50,MATCH($E227,'Vessel Valuations'!$C$34:$C$50,0))</f>
        <v>7.8477078477077959E-5</v>
      </c>
      <c r="Q227" s="4">
        <f>INDEX('Vessel Valuations'!G$34:G$50,MATCH($E227,'Vessel Valuations'!$C$34:$C$50,0))</f>
        <v>2.6864801864801918E-2</v>
      </c>
      <c r="R227" s="4">
        <f>INDEX('Vessel Valuations'!H$34:H$50,MATCH($E227,'Vessel Valuations'!$C$34:$C$50,0))</f>
        <v>-2.5062160062160075</v>
      </c>
      <c r="S227" s="4">
        <f>INDEX('Vessel Valuations'!I$34:I$50,MATCH($E227,'Vessel Valuations'!$C$34:$C$50,0))</f>
        <v>55.67832167832168</v>
      </c>
      <c r="U227" s="202">
        <v>32888</v>
      </c>
      <c r="V227" s="185">
        <f>((INDEX('FFA &amp; Spot Rates'!F$23:F$43,MATCH(Hafnia!$E227,'FFA &amp; Spot Rates'!$C$23:$C$43,0))+$H227)*(1-INDEX(V$149:V$152,MATCH(Hafnia!$E227,$D$149:$D$152,0)))+INDEX(V$149:V$152,MATCH(Hafnia!$E227,$D$149:$D$152,0))*INDEX(V$154:V$157,MATCH(Hafnia!$E227,$D$154:$D$157,0)))*$N227</f>
        <v>33073.119999999995</v>
      </c>
      <c r="W227" s="185">
        <f>((INDEX('FFA &amp; Spot Rates'!G$23:G$43,MATCH(Hafnia!$E227,'FFA &amp; Spot Rates'!$C$23:$C$43,0))+$H227)*(1-INDEX(W$149:W$152,MATCH(Hafnia!$E227,$D$149:$D$152,0)))+INDEX(W$149:W$152,MATCH(Hafnia!$E227,$D$149:$D$152,0))*INDEX(W$154:W$157,MATCH(Hafnia!$E227,$D$154:$D$157,0)))*$N227</f>
        <v>26558</v>
      </c>
      <c r="X227" s="185">
        <f>((INDEX('FFA &amp; Spot Rates'!H$23:H$43,MATCH(Hafnia!$E227,'FFA &amp; Spot Rates'!$C$23:$C$43,0))+$H227)*(1-INDEX(X$149:X$152,MATCH(Hafnia!$E227,$D$149:$D$152,0)))+INDEX(X$149:X$152,MATCH(Hafnia!$E227,$D$149:$D$152,0))*INDEX(X$154:X$157,MATCH(Hafnia!$E227,$D$154:$D$157,0)))*$N227</f>
        <v>37740</v>
      </c>
      <c r="Y227" s="185">
        <f t="shared" si="45"/>
        <v>32564.78</v>
      </c>
      <c r="Z227" s="185"/>
      <c r="AA227" s="185"/>
      <c r="AB227" s="185"/>
      <c r="AC227" s="185"/>
      <c r="AD227" s="185"/>
      <c r="AI227" s="21"/>
      <c r="AJ227" s="21"/>
    </row>
    <row r="228" spans="3:36" s="20" customFormat="1" outlineLevel="1" x14ac:dyDescent="0.2">
      <c r="C228" s="157" t="s">
        <v>939</v>
      </c>
      <c r="D228" s="157" t="s">
        <v>15</v>
      </c>
      <c r="E228" s="157" t="s">
        <v>15</v>
      </c>
      <c r="F228" s="158" t="s">
        <v>321</v>
      </c>
      <c r="G228" s="118">
        <v>0</v>
      </c>
      <c r="H228" s="152">
        <f>INDEX(Premiums!$G$27:$G$30,MATCH(Hafnia!E228,Premiums!$E$27:$E$30,0))*G228</f>
        <v>0</v>
      </c>
      <c r="I228" s="186">
        <v>49999</v>
      </c>
      <c r="J228" s="159">
        <v>2013</v>
      </c>
      <c r="K228" s="63">
        <v>2024</v>
      </c>
      <c r="L228" s="56">
        <f t="shared" si="43"/>
        <v>11</v>
      </c>
      <c r="M228" s="1">
        <f t="shared" si="44"/>
        <v>31.465039627039619</v>
      </c>
      <c r="N228" s="184">
        <v>1</v>
      </c>
      <c r="P228" s="4">
        <f>INDEX('Vessel Valuations'!F$34:F$50,MATCH($E228,'Vessel Valuations'!$C$34:$C$50,0))</f>
        <v>7.8477078477077959E-5</v>
      </c>
      <c r="Q228" s="4">
        <f>INDEX('Vessel Valuations'!G$34:G$50,MATCH($E228,'Vessel Valuations'!$C$34:$C$50,0))</f>
        <v>2.6864801864801918E-2</v>
      </c>
      <c r="R228" s="4">
        <f>INDEX('Vessel Valuations'!H$34:H$50,MATCH($E228,'Vessel Valuations'!$C$34:$C$50,0))</f>
        <v>-2.5062160062160075</v>
      </c>
      <c r="S228" s="4">
        <f>INDEX('Vessel Valuations'!I$34:I$50,MATCH($E228,'Vessel Valuations'!$C$34:$C$50,0))</f>
        <v>55.67832167832168</v>
      </c>
      <c r="U228" s="202">
        <v>32888</v>
      </c>
      <c r="V228" s="185">
        <f>((INDEX('FFA &amp; Spot Rates'!F$23:F$43,MATCH(Hafnia!$E228,'FFA &amp; Spot Rates'!$C$23:$C$43,0))+$H228)*(1-INDEX(V$149:V$152,MATCH(Hafnia!$E228,$D$149:$D$152,0)))+INDEX(V$149:V$152,MATCH(Hafnia!$E228,$D$149:$D$152,0))*INDEX(V$154:V$157,MATCH(Hafnia!$E228,$D$154:$D$157,0)))*$N228</f>
        <v>33073.119999999995</v>
      </c>
      <c r="W228" s="185">
        <f>((INDEX('FFA &amp; Spot Rates'!G$23:G$43,MATCH(Hafnia!$E228,'FFA &amp; Spot Rates'!$C$23:$C$43,0))+$H228)*(1-INDEX(W$149:W$152,MATCH(Hafnia!$E228,$D$149:$D$152,0)))+INDEX(W$149:W$152,MATCH(Hafnia!$E228,$D$149:$D$152,0))*INDEX(W$154:W$157,MATCH(Hafnia!$E228,$D$154:$D$157,0)))*$N228</f>
        <v>26558</v>
      </c>
      <c r="X228" s="185">
        <f>((INDEX('FFA &amp; Spot Rates'!H$23:H$43,MATCH(Hafnia!$E228,'FFA &amp; Spot Rates'!$C$23:$C$43,0))+$H228)*(1-INDEX(X$149:X$152,MATCH(Hafnia!$E228,$D$149:$D$152,0)))+INDEX(X$149:X$152,MATCH(Hafnia!$E228,$D$149:$D$152,0))*INDEX(X$154:X$157,MATCH(Hafnia!$E228,$D$154:$D$157,0)))*$N228</f>
        <v>37740</v>
      </c>
      <c r="Y228" s="185">
        <f t="shared" si="45"/>
        <v>32564.78</v>
      </c>
      <c r="Z228" s="185"/>
      <c r="AA228" s="185"/>
      <c r="AB228" s="185"/>
      <c r="AC228" s="185"/>
      <c r="AD228" s="185"/>
      <c r="AI228" s="21"/>
      <c r="AJ228" s="21"/>
    </row>
    <row r="229" spans="3:36" s="20" customFormat="1" outlineLevel="1" x14ac:dyDescent="0.2">
      <c r="C229" s="157" t="s">
        <v>940</v>
      </c>
      <c r="D229" s="157" t="s">
        <v>15</v>
      </c>
      <c r="E229" s="157" t="s">
        <v>15</v>
      </c>
      <c r="F229" s="158" t="s">
        <v>321</v>
      </c>
      <c r="G229" s="118">
        <v>0</v>
      </c>
      <c r="H229" s="152">
        <f>INDEX(Premiums!$G$27:$G$30,MATCH(Hafnia!E229,Premiums!$E$27:$E$30,0))*G229</f>
        <v>0</v>
      </c>
      <c r="I229" s="186">
        <v>49999</v>
      </c>
      <c r="J229" s="159">
        <v>2013</v>
      </c>
      <c r="K229" s="63">
        <v>2024</v>
      </c>
      <c r="L229" s="56">
        <f t="shared" si="43"/>
        <v>11</v>
      </c>
      <c r="M229" s="1">
        <f t="shared" si="44"/>
        <v>31.465039627039619</v>
      </c>
      <c r="N229" s="184">
        <v>1</v>
      </c>
      <c r="P229" s="4">
        <f>INDEX('Vessel Valuations'!F$34:F$50,MATCH($E229,'Vessel Valuations'!$C$34:$C$50,0))</f>
        <v>7.8477078477077959E-5</v>
      </c>
      <c r="Q229" s="4">
        <f>INDEX('Vessel Valuations'!G$34:G$50,MATCH($E229,'Vessel Valuations'!$C$34:$C$50,0))</f>
        <v>2.6864801864801918E-2</v>
      </c>
      <c r="R229" s="4">
        <f>INDEX('Vessel Valuations'!H$34:H$50,MATCH($E229,'Vessel Valuations'!$C$34:$C$50,0))</f>
        <v>-2.5062160062160075</v>
      </c>
      <c r="S229" s="4">
        <f>INDEX('Vessel Valuations'!I$34:I$50,MATCH($E229,'Vessel Valuations'!$C$34:$C$50,0))</f>
        <v>55.67832167832168</v>
      </c>
      <c r="U229" s="202">
        <v>32888</v>
      </c>
      <c r="V229" s="185">
        <f>((INDEX('FFA &amp; Spot Rates'!F$23:F$43,MATCH(Hafnia!$E229,'FFA &amp; Spot Rates'!$C$23:$C$43,0))+$H229)*(1-INDEX(V$149:V$152,MATCH(Hafnia!$E229,$D$149:$D$152,0)))+INDEX(V$149:V$152,MATCH(Hafnia!$E229,$D$149:$D$152,0))*INDEX(V$154:V$157,MATCH(Hafnia!$E229,$D$154:$D$157,0)))*$N229</f>
        <v>33073.119999999995</v>
      </c>
      <c r="W229" s="185">
        <f>((INDEX('FFA &amp; Spot Rates'!G$23:G$43,MATCH(Hafnia!$E229,'FFA &amp; Spot Rates'!$C$23:$C$43,0))+$H229)*(1-INDEX(W$149:W$152,MATCH(Hafnia!$E229,$D$149:$D$152,0)))+INDEX(W$149:W$152,MATCH(Hafnia!$E229,$D$149:$D$152,0))*INDEX(W$154:W$157,MATCH(Hafnia!$E229,$D$154:$D$157,0)))*$N229</f>
        <v>26558</v>
      </c>
      <c r="X229" s="185">
        <f>((INDEX('FFA &amp; Spot Rates'!H$23:H$43,MATCH(Hafnia!$E229,'FFA &amp; Spot Rates'!$C$23:$C$43,0))+$H229)*(1-INDEX(X$149:X$152,MATCH(Hafnia!$E229,$D$149:$D$152,0)))+INDEX(X$149:X$152,MATCH(Hafnia!$E229,$D$149:$D$152,0))*INDEX(X$154:X$157,MATCH(Hafnia!$E229,$D$154:$D$157,0)))*$N229</f>
        <v>37740</v>
      </c>
      <c r="Y229" s="185">
        <f t="shared" si="45"/>
        <v>32564.78</v>
      </c>
      <c r="Z229" s="185"/>
      <c r="AA229" s="185"/>
      <c r="AB229" s="185"/>
      <c r="AC229" s="185"/>
      <c r="AD229" s="185"/>
      <c r="AI229" s="21"/>
      <c r="AJ229" s="21"/>
    </row>
    <row r="230" spans="3:36" s="20" customFormat="1" outlineLevel="1" x14ac:dyDescent="0.2">
      <c r="C230" s="157" t="s">
        <v>941</v>
      </c>
      <c r="D230" s="157" t="s">
        <v>15</v>
      </c>
      <c r="E230" s="157" t="s">
        <v>15</v>
      </c>
      <c r="F230" s="158" t="s">
        <v>321</v>
      </c>
      <c r="G230" s="118">
        <v>0</v>
      </c>
      <c r="H230" s="152">
        <f>INDEX(Premiums!$G$27:$G$30,MATCH(Hafnia!E230,Premiums!$E$27:$E$30,0))*G230</f>
        <v>0</v>
      </c>
      <c r="I230" s="186">
        <v>49999</v>
      </c>
      <c r="J230" s="159">
        <v>2013</v>
      </c>
      <c r="K230" s="63">
        <v>2024</v>
      </c>
      <c r="L230" s="56">
        <f t="shared" si="43"/>
        <v>11</v>
      </c>
      <c r="M230" s="1">
        <f t="shared" si="44"/>
        <v>31.465039627039619</v>
      </c>
      <c r="N230" s="184">
        <v>1</v>
      </c>
      <c r="P230" s="4">
        <f>INDEX('Vessel Valuations'!F$34:F$50,MATCH($E230,'Vessel Valuations'!$C$34:$C$50,0))</f>
        <v>7.8477078477077959E-5</v>
      </c>
      <c r="Q230" s="4">
        <f>INDEX('Vessel Valuations'!G$34:G$50,MATCH($E230,'Vessel Valuations'!$C$34:$C$50,0))</f>
        <v>2.6864801864801918E-2</v>
      </c>
      <c r="R230" s="4">
        <f>INDEX('Vessel Valuations'!H$34:H$50,MATCH($E230,'Vessel Valuations'!$C$34:$C$50,0))</f>
        <v>-2.5062160062160075</v>
      </c>
      <c r="S230" s="4">
        <f>INDEX('Vessel Valuations'!I$34:I$50,MATCH($E230,'Vessel Valuations'!$C$34:$C$50,0))</f>
        <v>55.67832167832168</v>
      </c>
      <c r="U230" s="202">
        <v>32888</v>
      </c>
      <c r="V230" s="185">
        <f>((INDEX('FFA &amp; Spot Rates'!F$23:F$43,MATCH(Hafnia!$E230,'FFA &amp; Spot Rates'!$C$23:$C$43,0))+$H230)*(1-INDEX(V$149:V$152,MATCH(Hafnia!$E230,$D$149:$D$152,0)))+INDEX(V$149:V$152,MATCH(Hafnia!$E230,$D$149:$D$152,0))*INDEX(V$154:V$157,MATCH(Hafnia!$E230,$D$154:$D$157,0)))*$N230</f>
        <v>33073.119999999995</v>
      </c>
      <c r="W230" s="185">
        <f>((INDEX('FFA &amp; Spot Rates'!G$23:G$43,MATCH(Hafnia!$E230,'FFA &amp; Spot Rates'!$C$23:$C$43,0))+$H230)*(1-INDEX(W$149:W$152,MATCH(Hafnia!$E230,$D$149:$D$152,0)))+INDEX(W$149:W$152,MATCH(Hafnia!$E230,$D$149:$D$152,0))*INDEX(W$154:W$157,MATCH(Hafnia!$E230,$D$154:$D$157,0)))*$N230</f>
        <v>26558</v>
      </c>
      <c r="X230" s="185">
        <f>((INDEX('FFA &amp; Spot Rates'!H$23:H$43,MATCH(Hafnia!$E230,'FFA &amp; Spot Rates'!$C$23:$C$43,0))+$H230)*(1-INDEX(X$149:X$152,MATCH(Hafnia!$E230,$D$149:$D$152,0)))+INDEX(X$149:X$152,MATCH(Hafnia!$E230,$D$149:$D$152,0))*INDEX(X$154:X$157,MATCH(Hafnia!$E230,$D$154:$D$157,0)))*$N230</f>
        <v>37740</v>
      </c>
      <c r="Y230" s="185">
        <f t="shared" si="45"/>
        <v>32564.78</v>
      </c>
      <c r="Z230" s="185"/>
      <c r="AA230" s="185"/>
      <c r="AB230" s="185"/>
      <c r="AC230" s="185"/>
      <c r="AD230" s="185"/>
      <c r="AI230" s="21"/>
      <c r="AJ230" s="21"/>
    </row>
    <row r="231" spans="3:36" s="20" customFormat="1" outlineLevel="1" x14ac:dyDescent="0.2">
      <c r="C231" s="157" t="s">
        <v>942</v>
      </c>
      <c r="D231" s="157" t="s">
        <v>15</v>
      </c>
      <c r="E231" s="157" t="s">
        <v>15</v>
      </c>
      <c r="F231" s="158" t="s">
        <v>321</v>
      </c>
      <c r="G231" s="118">
        <v>1</v>
      </c>
      <c r="H231" s="152">
        <f>INDEX(Premiums!$G$27:$G$30,MATCH(Hafnia!E231,Premiums!$E$27:$E$30,0))*G231</f>
        <v>1313.4452054794519</v>
      </c>
      <c r="I231" s="186">
        <v>49999</v>
      </c>
      <c r="J231" s="159">
        <v>2015</v>
      </c>
      <c r="K231" s="63">
        <v>2024</v>
      </c>
      <c r="L231" s="56">
        <f t="shared" si="43"/>
        <v>9</v>
      </c>
      <c r="M231" s="1">
        <f t="shared" si="44"/>
        <v>35.355636363636357</v>
      </c>
      <c r="N231" s="184">
        <v>1</v>
      </c>
      <c r="P231" s="4">
        <f>INDEX('Vessel Valuations'!F$34:F$50,MATCH($E231,'Vessel Valuations'!$C$34:$C$50,0))</f>
        <v>7.8477078477077959E-5</v>
      </c>
      <c r="Q231" s="4">
        <f>INDEX('Vessel Valuations'!G$34:G$50,MATCH($E231,'Vessel Valuations'!$C$34:$C$50,0))</f>
        <v>2.6864801864801918E-2</v>
      </c>
      <c r="R231" s="4">
        <f>INDEX('Vessel Valuations'!H$34:H$50,MATCH($E231,'Vessel Valuations'!$C$34:$C$50,0))</f>
        <v>-2.5062160062160075</v>
      </c>
      <c r="S231" s="4">
        <f>INDEX('Vessel Valuations'!I$34:I$50,MATCH($E231,'Vessel Valuations'!$C$34:$C$50,0))</f>
        <v>55.67832167832168</v>
      </c>
      <c r="U231" s="202">
        <v>32888</v>
      </c>
      <c r="V231" s="185">
        <f>((INDEX('FFA &amp; Spot Rates'!F$23:F$43,MATCH(Hafnia!$E231,'FFA &amp; Spot Rates'!$C$23:$C$43,0))+$H231)*(1-INDEX(V$149:V$152,MATCH(Hafnia!$E231,$D$149:$D$152,0)))+INDEX(V$149:V$152,MATCH(Hafnia!$E231,$D$149:$D$152,0))*INDEX(V$154:V$157,MATCH(Hafnia!$E231,$D$154:$D$157,0)))*$N231</f>
        <v>33506.556917808222</v>
      </c>
      <c r="W231" s="185">
        <f>((INDEX('FFA &amp; Spot Rates'!G$23:G$43,MATCH(Hafnia!$E231,'FFA &amp; Spot Rates'!$C$23:$C$43,0))+$H231)*(1-INDEX(W$149:W$152,MATCH(Hafnia!$E231,$D$149:$D$152,0)))+INDEX(W$149:W$152,MATCH(Hafnia!$E231,$D$149:$D$152,0))*INDEX(W$154:W$157,MATCH(Hafnia!$E231,$D$154:$D$157,0)))*$N231</f>
        <v>27871.445205479453</v>
      </c>
      <c r="X231" s="185">
        <f>((INDEX('FFA &amp; Spot Rates'!H$23:H$43,MATCH(Hafnia!$E231,'FFA &amp; Spot Rates'!$C$23:$C$43,0))+$H231)*(1-INDEX(X$149:X$152,MATCH(Hafnia!$E231,$D$149:$D$152,0)))+INDEX(X$149:X$152,MATCH(Hafnia!$E231,$D$149:$D$152,0))*INDEX(X$154:X$157,MATCH(Hafnia!$E231,$D$154:$D$157,0)))*$N231</f>
        <v>39053.445205479453</v>
      </c>
      <c r="Y231" s="185">
        <f t="shared" si="45"/>
        <v>33329.861832191782</v>
      </c>
      <c r="Z231" s="185"/>
      <c r="AA231" s="185"/>
      <c r="AB231" s="185"/>
      <c r="AC231" s="185"/>
      <c r="AD231" s="185"/>
      <c r="AI231" s="21"/>
      <c r="AJ231" s="21"/>
    </row>
    <row r="232" spans="3:36" s="20" customFormat="1" outlineLevel="1" x14ac:dyDescent="0.2">
      <c r="C232" s="157" t="s">
        <v>943</v>
      </c>
      <c r="D232" s="157" t="s">
        <v>15</v>
      </c>
      <c r="E232" s="157" t="s">
        <v>15</v>
      </c>
      <c r="F232" s="158" t="s">
        <v>321</v>
      </c>
      <c r="G232" s="118">
        <v>1</v>
      </c>
      <c r="H232" s="152">
        <f>INDEX(Premiums!$G$27:$G$30,MATCH(Hafnia!E232,Premiums!$E$27:$E$30,0))*G232</f>
        <v>1313.4452054794519</v>
      </c>
      <c r="I232" s="186">
        <v>49999</v>
      </c>
      <c r="J232" s="159">
        <v>2015</v>
      </c>
      <c r="K232" s="63">
        <v>2024</v>
      </c>
      <c r="L232" s="56">
        <f t="shared" si="43"/>
        <v>9</v>
      </c>
      <c r="M232" s="1">
        <f t="shared" si="44"/>
        <v>35.355636363636357</v>
      </c>
      <c r="N232" s="184">
        <v>1</v>
      </c>
      <c r="P232" s="4">
        <f>INDEX('Vessel Valuations'!F$34:F$50,MATCH($E232,'Vessel Valuations'!$C$34:$C$50,0))</f>
        <v>7.8477078477077959E-5</v>
      </c>
      <c r="Q232" s="4">
        <f>INDEX('Vessel Valuations'!G$34:G$50,MATCH($E232,'Vessel Valuations'!$C$34:$C$50,0))</f>
        <v>2.6864801864801918E-2</v>
      </c>
      <c r="R232" s="4">
        <f>INDEX('Vessel Valuations'!H$34:H$50,MATCH($E232,'Vessel Valuations'!$C$34:$C$50,0))</f>
        <v>-2.5062160062160075</v>
      </c>
      <c r="S232" s="4">
        <f>INDEX('Vessel Valuations'!I$34:I$50,MATCH($E232,'Vessel Valuations'!$C$34:$C$50,0))</f>
        <v>55.67832167832168</v>
      </c>
      <c r="U232" s="202">
        <v>32888</v>
      </c>
      <c r="V232" s="185">
        <f>((INDEX('FFA &amp; Spot Rates'!F$23:F$43,MATCH(Hafnia!$E232,'FFA &amp; Spot Rates'!$C$23:$C$43,0))+$H232)*(1-INDEX(V$149:V$152,MATCH(Hafnia!$E232,$D$149:$D$152,0)))+INDEX(V$149:V$152,MATCH(Hafnia!$E232,$D$149:$D$152,0))*INDEX(V$154:V$157,MATCH(Hafnia!$E232,$D$154:$D$157,0)))*$N232</f>
        <v>33506.556917808222</v>
      </c>
      <c r="W232" s="185">
        <f>((INDEX('FFA &amp; Spot Rates'!G$23:G$43,MATCH(Hafnia!$E232,'FFA &amp; Spot Rates'!$C$23:$C$43,0))+$H232)*(1-INDEX(W$149:W$152,MATCH(Hafnia!$E232,$D$149:$D$152,0)))+INDEX(W$149:W$152,MATCH(Hafnia!$E232,$D$149:$D$152,0))*INDEX(W$154:W$157,MATCH(Hafnia!$E232,$D$154:$D$157,0)))*$N232</f>
        <v>27871.445205479453</v>
      </c>
      <c r="X232" s="185">
        <f>((INDEX('FFA &amp; Spot Rates'!H$23:H$43,MATCH(Hafnia!$E232,'FFA &amp; Spot Rates'!$C$23:$C$43,0))+$H232)*(1-INDEX(X$149:X$152,MATCH(Hafnia!$E232,$D$149:$D$152,0)))+INDEX(X$149:X$152,MATCH(Hafnia!$E232,$D$149:$D$152,0))*INDEX(X$154:X$157,MATCH(Hafnia!$E232,$D$154:$D$157,0)))*$N232</f>
        <v>39053.445205479453</v>
      </c>
      <c r="Y232" s="185">
        <f t="shared" si="45"/>
        <v>33329.861832191782</v>
      </c>
      <c r="Z232" s="185"/>
      <c r="AA232" s="185"/>
      <c r="AB232" s="185"/>
      <c r="AC232" s="185"/>
      <c r="AD232" s="185"/>
      <c r="AI232" s="21"/>
      <c r="AJ232" s="21"/>
    </row>
    <row r="233" spans="3:36" s="20" customFormat="1" outlineLevel="1" x14ac:dyDescent="0.2">
      <c r="C233" s="157" t="s">
        <v>944</v>
      </c>
      <c r="D233" s="157" t="s">
        <v>15</v>
      </c>
      <c r="E233" s="157" t="s">
        <v>15</v>
      </c>
      <c r="F233" s="158" t="s">
        <v>321</v>
      </c>
      <c r="G233" s="118">
        <v>0</v>
      </c>
      <c r="H233" s="152">
        <f>INDEX(Premiums!$G$27:$G$30,MATCH(Hafnia!E233,Premiums!$E$27:$E$30,0))*G233</f>
        <v>0</v>
      </c>
      <c r="I233" s="186">
        <v>49999</v>
      </c>
      <c r="J233" s="159">
        <v>2014</v>
      </c>
      <c r="K233" s="63">
        <v>2024</v>
      </c>
      <c r="L233" s="56">
        <f t="shared" si="43"/>
        <v>10</v>
      </c>
      <c r="M233" s="1">
        <f t="shared" si="44"/>
        <v>33.38111888111888</v>
      </c>
      <c r="N233" s="184">
        <v>1</v>
      </c>
      <c r="P233" s="4">
        <f>INDEX('Vessel Valuations'!F$34:F$50,MATCH($E233,'Vessel Valuations'!$C$34:$C$50,0))</f>
        <v>7.8477078477077959E-5</v>
      </c>
      <c r="Q233" s="4">
        <f>INDEX('Vessel Valuations'!G$34:G$50,MATCH($E233,'Vessel Valuations'!$C$34:$C$50,0))</f>
        <v>2.6864801864801918E-2</v>
      </c>
      <c r="R233" s="4">
        <f>INDEX('Vessel Valuations'!H$34:H$50,MATCH($E233,'Vessel Valuations'!$C$34:$C$50,0))</f>
        <v>-2.5062160062160075</v>
      </c>
      <c r="S233" s="4">
        <f>INDEX('Vessel Valuations'!I$34:I$50,MATCH($E233,'Vessel Valuations'!$C$34:$C$50,0))</f>
        <v>55.67832167832168</v>
      </c>
      <c r="U233" s="202">
        <v>32888</v>
      </c>
      <c r="V233" s="185">
        <f>((INDEX('FFA &amp; Spot Rates'!F$23:F$43,MATCH(Hafnia!$E233,'FFA &amp; Spot Rates'!$C$23:$C$43,0))+$H233)*(1-INDEX(V$149:V$152,MATCH(Hafnia!$E233,$D$149:$D$152,0)))+INDEX(V$149:V$152,MATCH(Hafnia!$E233,$D$149:$D$152,0))*INDEX(V$154:V$157,MATCH(Hafnia!$E233,$D$154:$D$157,0)))*$N233</f>
        <v>33073.119999999995</v>
      </c>
      <c r="W233" s="185">
        <f>((INDEX('FFA &amp; Spot Rates'!G$23:G$43,MATCH(Hafnia!$E233,'FFA &amp; Spot Rates'!$C$23:$C$43,0))+$H233)*(1-INDEX(W$149:W$152,MATCH(Hafnia!$E233,$D$149:$D$152,0)))+INDEX(W$149:W$152,MATCH(Hafnia!$E233,$D$149:$D$152,0))*INDEX(W$154:W$157,MATCH(Hafnia!$E233,$D$154:$D$157,0)))*$N233</f>
        <v>26558</v>
      </c>
      <c r="X233" s="185">
        <f>((INDEX('FFA &amp; Spot Rates'!H$23:H$43,MATCH(Hafnia!$E233,'FFA &amp; Spot Rates'!$C$23:$C$43,0))+$H233)*(1-INDEX(X$149:X$152,MATCH(Hafnia!$E233,$D$149:$D$152,0)))+INDEX(X$149:X$152,MATCH(Hafnia!$E233,$D$149:$D$152,0))*INDEX(X$154:X$157,MATCH(Hafnia!$E233,$D$154:$D$157,0)))*$N233</f>
        <v>37740</v>
      </c>
      <c r="Y233" s="185">
        <f t="shared" si="45"/>
        <v>32564.78</v>
      </c>
      <c r="Z233" s="185"/>
      <c r="AA233" s="185"/>
      <c r="AB233" s="185"/>
      <c r="AC233" s="185"/>
      <c r="AD233" s="185"/>
      <c r="AI233" s="21"/>
      <c r="AJ233" s="21"/>
    </row>
    <row r="234" spans="3:36" s="20" customFormat="1" outlineLevel="1" x14ac:dyDescent="0.2">
      <c r="C234" s="157" t="s">
        <v>945</v>
      </c>
      <c r="D234" s="157" t="s">
        <v>15</v>
      </c>
      <c r="E234" s="157" t="s">
        <v>15</v>
      </c>
      <c r="F234" s="158" t="s">
        <v>321</v>
      </c>
      <c r="G234" s="118">
        <v>1</v>
      </c>
      <c r="H234" s="152">
        <f>INDEX(Premiums!$G$27:$G$30,MATCH(Hafnia!E234,Premiums!$E$27:$E$30,0))*G234</f>
        <v>1313.4452054794519</v>
      </c>
      <c r="I234" s="186">
        <v>49999</v>
      </c>
      <c r="J234" s="159">
        <v>2015</v>
      </c>
      <c r="K234" s="63">
        <v>2024</v>
      </c>
      <c r="L234" s="56">
        <f t="shared" si="43"/>
        <v>9</v>
      </c>
      <c r="M234" s="1">
        <f t="shared" si="44"/>
        <v>35.355636363636357</v>
      </c>
      <c r="N234" s="184">
        <v>1</v>
      </c>
      <c r="P234" s="4">
        <f>INDEX('Vessel Valuations'!F$34:F$50,MATCH($E234,'Vessel Valuations'!$C$34:$C$50,0))</f>
        <v>7.8477078477077959E-5</v>
      </c>
      <c r="Q234" s="4">
        <f>INDEX('Vessel Valuations'!G$34:G$50,MATCH($E234,'Vessel Valuations'!$C$34:$C$50,0))</f>
        <v>2.6864801864801918E-2</v>
      </c>
      <c r="R234" s="4">
        <f>INDEX('Vessel Valuations'!H$34:H$50,MATCH($E234,'Vessel Valuations'!$C$34:$C$50,0))</f>
        <v>-2.5062160062160075</v>
      </c>
      <c r="S234" s="4">
        <f>INDEX('Vessel Valuations'!I$34:I$50,MATCH($E234,'Vessel Valuations'!$C$34:$C$50,0))</f>
        <v>55.67832167832168</v>
      </c>
      <c r="U234" s="202">
        <v>32888</v>
      </c>
      <c r="V234" s="185">
        <f>((INDEX('FFA &amp; Spot Rates'!F$23:F$43,MATCH(Hafnia!$E234,'FFA &amp; Spot Rates'!$C$23:$C$43,0))+$H234)*(1-INDEX(V$149:V$152,MATCH(Hafnia!$E234,$D$149:$D$152,0)))+INDEX(V$149:V$152,MATCH(Hafnia!$E234,$D$149:$D$152,0))*INDEX(V$154:V$157,MATCH(Hafnia!$E234,$D$154:$D$157,0)))*$N234</f>
        <v>33506.556917808222</v>
      </c>
      <c r="W234" s="185">
        <f>((INDEX('FFA &amp; Spot Rates'!G$23:G$43,MATCH(Hafnia!$E234,'FFA &amp; Spot Rates'!$C$23:$C$43,0))+$H234)*(1-INDEX(W$149:W$152,MATCH(Hafnia!$E234,$D$149:$D$152,0)))+INDEX(W$149:W$152,MATCH(Hafnia!$E234,$D$149:$D$152,0))*INDEX(W$154:W$157,MATCH(Hafnia!$E234,$D$154:$D$157,0)))*$N234</f>
        <v>27871.445205479453</v>
      </c>
      <c r="X234" s="185">
        <f>((INDEX('FFA &amp; Spot Rates'!H$23:H$43,MATCH(Hafnia!$E234,'FFA &amp; Spot Rates'!$C$23:$C$43,0))+$H234)*(1-INDEX(X$149:X$152,MATCH(Hafnia!$E234,$D$149:$D$152,0)))+INDEX(X$149:X$152,MATCH(Hafnia!$E234,$D$149:$D$152,0))*INDEX(X$154:X$157,MATCH(Hafnia!$E234,$D$154:$D$157,0)))*$N234</f>
        <v>39053.445205479453</v>
      </c>
      <c r="Y234" s="185">
        <f t="shared" si="45"/>
        <v>33329.861832191782</v>
      </c>
      <c r="Z234" s="185"/>
      <c r="AA234" s="185"/>
      <c r="AB234" s="185"/>
      <c r="AC234" s="185"/>
      <c r="AD234" s="185"/>
      <c r="AI234" s="21"/>
      <c r="AJ234" s="21"/>
    </row>
    <row r="235" spans="3:36" s="20" customFormat="1" outlineLevel="1" x14ac:dyDescent="0.2">
      <c r="C235" s="157" t="s">
        <v>946</v>
      </c>
      <c r="D235" s="157" t="s">
        <v>15</v>
      </c>
      <c r="E235" s="157" t="s">
        <v>15</v>
      </c>
      <c r="F235" s="158" t="s">
        <v>321</v>
      </c>
      <c r="G235" s="118">
        <v>1</v>
      </c>
      <c r="H235" s="152">
        <f>INDEX(Premiums!$G$27:$G$30,MATCH(Hafnia!E235,Premiums!$E$27:$E$30,0))*G235</f>
        <v>1313.4452054794519</v>
      </c>
      <c r="I235" s="186">
        <v>49999</v>
      </c>
      <c r="J235" s="159">
        <v>2016</v>
      </c>
      <c r="K235" s="63">
        <v>2024</v>
      </c>
      <c r="L235" s="56">
        <f t="shared" si="43"/>
        <v>8</v>
      </c>
      <c r="M235" s="1">
        <f t="shared" si="44"/>
        <v>37.388121212121206</v>
      </c>
      <c r="N235" s="184">
        <v>1</v>
      </c>
      <c r="P235" s="4">
        <f>INDEX('Vessel Valuations'!F$34:F$50,MATCH($E235,'Vessel Valuations'!$C$34:$C$50,0))</f>
        <v>7.8477078477077959E-5</v>
      </c>
      <c r="Q235" s="4">
        <f>INDEX('Vessel Valuations'!G$34:G$50,MATCH($E235,'Vessel Valuations'!$C$34:$C$50,0))</f>
        <v>2.6864801864801918E-2</v>
      </c>
      <c r="R235" s="4">
        <f>INDEX('Vessel Valuations'!H$34:H$50,MATCH($E235,'Vessel Valuations'!$C$34:$C$50,0))</f>
        <v>-2.5062160062160075</v>
      </c>
      <c r="S235" s="4">
        <f>INDEX('Vessel Valuations'!I$34:I$50,MATCH($E235,'Vessel Valuations'!$C$34:$C$50,0))</f>
        <v>55.67832167832168</v>
      </c>
      <c r="U235" s="202">
        <v>32888</v>
      </c>
      <c r="V235" s="185">
        <f>((INDEX('FFA &amp; Spot Rates'!F$23:F$43,MATCH(Hafnia!$E235,'FFA &amp; Spot Rates'!$C$23:$C$43,0))+$H235)*(1-INDEX(V$149:V$152,MATCH(Hafnia!$E235,$D$149:$D$152,0)))+INDEX(V$149:V$152,MATCH(Hafnia!$E235,$D$149:$D$152,0))*INDEX(V$154:V$157,MATCH(Hafnia!$E235,$D$154:$D$157,0)))*$N235</f>
        <v>33506.556917808222</v>
      </c>
      <c r="W235" s="185">
        <f>((INDEX('FFA &amp; Spot Rates'!G$23:G$43,MATCH(Hafnia!$E235,'FFA &amp; Spot Rates'!$C$23:$C$43,0))+$H235)*(1-INDEX(W$149:W$152,MATCH(Hafnia!$E235,$D$149:$D$152,0)))+INDEX(W$149:W$152,MATCH(Hafnia!$E235,$D$149:$D$152,0))*INDEX(W$154:W$157,MATCH(Hafnia!$E235,$D$154:$D$157,0)))*$N235</f>
        <v>27871.445205479453</v>
      </c>
      <c r="X235" s="185">
        <f>((INDEX('FFA &amp; Spot Rates'!H$23:H$43,MATCH(Hafnia!$E235,'FFA &amp; Spot Rates'!$C$23:$C$43,0))+$H235)*(1-INDEX(X$149:X$152,MATCH(Hafnia!$E235,$D$149:$D$152,0)))+INDEX(X$149:X$152,MATCH(Hafnia!$E235,$D$149:$D$152,0))*INDEX(X$154:X$157,MATCH(Hafnia!$E235,$D$154:$D$157,0)))*$N235</f>
        <v>39053.445205479453</v>
      </c>
      <c r="Y235" s="185">
        <f t="shared" si="45"/>
        <v>33329.861832191782</v>
      </c>
      <c r="Z235" s="185"/>
      <c r="AA235" s="185"/>
      <c r="AB235" s="185"/>
      <c r="AC235" s="185"/>
      <c r="AD235" s="185"/>
      <c r="AI235" s="21"/>
      <c r="AJ235" s="21"/>
    </row>
    <row r="236" spans="3:36" s="20" customFormat="1" outlineLevel="1" x14ac:dyDescent="0.2">
      <c r="C236" s="157" t="s">
        <v>947</v>
      </c>
      <c r="D236" s="157" t="s">
        <v>15</v>
      </c>
      <c r="E236" s="157" t="s">
        <v>15</v>
      </c>
      <c r="F236" s="158" t="s">
        <v>321</v>
      </c>
      <c r="G236" s="118">
        <v>0</v>
      </c>
      <c r="H236" s="152">
        <f>INDEX(Premiums!$G$27:$G$30,MATCH(Hafnia!E236,Premiums!$E$27:$E$30,0))*G236</f>
        <v>0</v>
      </c>
      <c r="I236" s="186">
        <v>49999</v>
      </c>
      <c r="J236" s="159">
        <v>2013</v>
      </c>
      <c r="K236" s="63">
        <v>2024</v>
      </c>
      <c r="L236" s="56">
        <f t="shared" si="43"/>
        <v>11</v>
      </c>
      <c r="M236" s="1">
        <f t="shared" si="44"/>
        <v>31.465039627039619</v>
      </c>
      <c r="N236" s="184">
        <v>1</v>
      </c>
      <c r="P236" s="4">
        <f>INDEX('Vessel Valuations'!F$34:F$50,MATCH($E236,'Vessel Valuations'!$C$34:$C$50,0))</f>
        <v>7.8477078477077959E-5</v>
      </c>
      <c r="Q236" s="4">
        <f>INDEX('Vessel Valuations'!G$34:G$50,MATCH($E236,'Vessel Valuations'!$C$34:$C$50,0))</f>
        <v>2.6864801864801918E-2</v>
      </c>
      <c r="R236" s="4">
        <f>INDEX('Vessel Valuations'!H$34:H$50,MATCH($E236,'Vessel Valuations'!$C$34:$C$50,0))</f>
        <v>-2.5062160062160075</v>
      </c>
      <c r="S236" s="4">
        <f>INDEX('Vessel Valuations'!I$34:I$50,MATCH($E236,'Vessel Valuations'!$C$34:$C$50,0))</f>
        <v>55.67832167832168</v>
      </c>
      <c r="U236" s="202">
        <v>32888</v>
      </c>
      <c r="V236" s="185">
        <f>((INDEX('FFA &amp; Spot Rates'!F$23:F$43,MATCH(Hafnia!$E236,'FFA &amp; Spot Rates'!$C$23:$C$43,0))+$H236)*(1-INDEX(V$149:V$152,MATCH(Hafnia!$E236,$D$149:$D$152,0)))+INDEX(V$149:V$152,MATCH(Hafnia!$E236,$D$149:$D$152,0))*INDEX(V$154:V$157,MATCH(Hafnia!$E236,$D$154:$D$157,0)))*$N236</f>
        <v>33073.119999999995</v>
      </c>
      <c r="W236" s="185">
        <f>((INDEX('FFA &amp; Spot Rates'!G$23:G$43,MATCH(Hafnia!$E236,'FFA &amp; Spot Rates'!$C$23:$C$43,0))+$H236)*(1-INDEX(W$149:W$152,MATCH(Hafnia!$E236,$D$149:$D$152,0)))+INDEX(W$149:W$152,MATCH(Hafnia!$E236,$D$149:$D$152,0))*INDEX(W$154:W$157,MATCH(Hafnia!$E236,$D$154:$D$157,0)))*$N236</f>
        <v>26558</v>
      </c>
      <c r="X236" s="185">
        <f>((INDEX('FFA &amp; Spot Rates'!H$23:H$43,MATCH(Hafnia!$E236,'FFA &amp; Spot Rates'!$C$23:$C$43,0))+$H236)*(1-INDEX(X$149:X$152,MATCH(Hafnia!$E236,$D$149:$D$152,0)))+INDEX(X$149:X$152,MATCH(Hafnia!$E236,$D$149:$D$152,0))*INDEX(X$154:X$157,MATCH(Hafnia!$E236,$D$154:$D$157,0)))*$N236</f>
        <v>37740</v>
      </c>
      <c r="Y236" s="185">
        <f t="shared" si="45"/>
        <v>32564.78</v>
      </c>
      <c r="Z236" s="185"/>
      <c r="AA236" s="185"/>
      <c r="AB236" s="185"/>
      <c r="AC236" s="185"/>
      <c r="AD236" s="185"/>
      <c r="AI236" s="21"/>
      <c r="AJ236" s="21"/>
    </row>
    <row r="237" spans="3:36" s="20" customFormat="1" outlineLevel="1" x14ac:dyDescent="0.2">
      <c r="C237" s="157" t="s">
        <v>948</v>
      </c>
      <c r="D237" s="157" t="s">
        <v>15</v>
      </c>
      <c r="E237" s="157" t="s">
        <v>15</v>
      </c>
      <c r="F237" s="158" t="s">
        <v>321</v>
      </c>
      <c r="G237" s="118">
        <v>0</v>
      </c>
      <c r="H237" s="152">
        <f>INDEX(Premiums!$G$27:$G$30,MATCH(Hafnia!E237,Premiums!$E$27:$E$30,0))*G237</f>
        <v>0</v>
      </c>
      <c r="I237" s="186">
        <v>49994</v>
      </c>
      <c r="J237" s="159">
        <v>2010</v>
      </c>
      <c r="K237" s="63">
        <v>2024</v>
      </c>
      <c r="L237" s="56">
        <f t="shared" si="43"/>
        <v>14</v>
      </c>
      <c r="M237" s="1">
        <f t="shared" si="44"/>
        <v>26.072139860139853</v>
      </c>
      <c r="N237" s="184">
        <v>1</v>
      </c>
      <c r="P237" s="4">
        <f>INDEX('Vessel Valuations'!F$34:F$50,MATCH($E237,'Vessel Valuations'!$C$34:$C$50,0))</f>
        <v>7.8477078477077959E-5</v>
      </c>
      <c r="Q237" s="4">
        <f>INDEX('Vessel Valuations'!G$34:G$50,MATCH($E237,'Vessel Valuations'!$C$34:$C$50,0))</f>
        <v>2.6864801864801918E-2</v>
      </c>
      <c r="R237" s="4">
        <f>INDEX('Vessel Valuations'!H$34:H$50,MATCH($E237,'Vessel Valuations'!$C$34:$C$50,0))</f>
        <v>-2.5062160062160075</v>
      </c>
      <c r="S237" s="4">
        <f>INDEX('Vessel Valuations'!I$34:I$50,MATCH($E237,'Vessel Valuations'!$C$34:$C$50,0))</f>
        <v>55.67832167832168</v>
      </c>
      <c r="U237" s="202">
        <v>32888</v>
      </c>
      <c r="V237" s="185">
        <f>((INDEX('FFA &amp; Spot Rates'!F$23:F$43,MATCH(Hafnia!$E237,'FFA &amp; Spot Rates'!$C$23:$C$43,0))+$H237)*(1-INDEX(V$149:V$152,MATCH(Hafnia!$E237,$D$149:$D$152,0)))+INDEX(V$149:V$152,MATCH(Hafnia!$E237,$D$149:$D$152,0))*INDEX(V$154:V$157,MATCH(Hafnia!$E237,$D$154:$D$157,0)))*$N237</f>
        <v>33073.119999999995</v>
      </c>
      <c r="W237" s="185">
        <f>((INDEX('FFA &amp; Spot Rates'!G$23:G$43,MATCH(Hafnia!$E237,'FFA &amp; Spot Rates'!$C$23:$C$43,0))+$H237)*(1-INDEX(W$149:W$152,MATCH(Hafnia!$E237,$D$149:$D$152,0)))+INDEX(W$149:W$152,MATCH(Hafnia!$E237,$D$149:$D$152,0))*INDEX(W$154:W$157,MATCH(Hafnia!$E237,$D$154:$D$157,0)))*$N237</f>
        <v>26558</v>
      </c>
      <c r="X237" s="185">
        <f>((INDEX('FFA &amp; Spot Rates'!H$23:H$43,MATCH(Hafnia!$E237,'FFA &amp; Spot Rates'!$C$23:$C$43,0))+$H237)*(1-INDEX(X$149:X$152,MATCH(Hafnia!$E237,$D$149:$D$152,0)))+INDEX(X$149:X$152,MATCH(Hafnia!$E237,$D$149:$D$152,0))*INDEX(X$154:X$157,MATCH(Hafnia!$E237,$D$154:$D$157,0)))*$N237</f>
        <v>37740</v>
      </c>
      <c r="Y237" s="185">
        <f t="shared" si="45"/>
        <v>32564.78</v>
      </c>
      <c r="Z237" s="185"/>
      <c r="AA237" s="185"/>
      <c r="AB237" s="185"/>
      <c r="AC237" s="185"/>
      <c r="AD237" s="185"/>
      <c r="AI237" s="21"/>
      <c r="AJ237" s="21"/>
    </row>
    <row r="238" spans="3:36" s="20" customFormat="1" outlineLevel="1" x14ac:dyDescent="0.2">
      <c r="C238" s="157" t="s">
        <v>949</v>
      </c>
      <c r="D238" s="157" t="s">
        <v>15</v>
      </c>
      <c r="E238" s="157" t="s">
        <v>15</v>
      </c>
      <c r="F238" s="158" t="s">
        <v>321</v>
      </c>
      <c r="G238" s="118">
        <v>1</v>
      </c>
      <c r="H238" s="152">
        <f>INDEX(Premiums!$G$27:$G$30,MATCH(Hafnia!E238,Premiums!$E$27:$E$30,0))*G238</f>
        <v>1313.4452054794519</v>
      </c>
      <c r="I238" s="186">
        <v>49875</v>
      </c>
      <c r="J238" s="159">
        <v>2016</v>
      </c>
      <c r="K238" s="63">
        <v>2024</v>
      </c>
      <c r="L238" s="56">
        <f t="shared" si="43"/>
        <v>8</v>
      </c>
      <c r="M238" s="1">
        <f t="shared" si="44"/>
        <v>37.388121212121206</v>
      </c>
      <c r="N238" s="184">
        <v>1</v>
      </c>
      <c r="P238" s="4">
        <f>INDEX('Vessel Valuations'!F$34:F$50,MATCH($E238,'Vessel Valuations'!$C$34:$C$50,0))</f>
        <v>7.8477078477077959E-5</v>
      </c>
      <c r="Q238" s="4">
        <f>INDEX('Vessel Valuations'!G$34:G$50,MATCH($E238,'Vessel Valuations'!$C$34:$C$50,0))</f>
        <v>2.6864801864801918E-2</v>
      </c>
      <c r="R238" s="4">
        <f>INDEX('Vessel Valuations'!H$34:H$50,MATCH($E238,'Vessel Valuations'!$C$34:$C$50,0))</f>
        <v>-2.5062160062160075</v>
      </c>
      <c r="S238" s="4">
        <f>INDEX('Vessel Valuations'!I$34:I$50,MATCH($E238,'Vessel Valuations'!$C$34:$C$50,0))</f>
        <v>55.67832167832168</v>
      </c>
      <c r="U238" s="202">
        <v>32888</v>
      </c>
      <c r="V238" s="185">
        <f>((INDEX('FFA &amp; Spot Rates'!F$23:F$43,MATCH(Hafnia!$E238,'FFA &amp; Spot Rates'!$C$23:$C$43,0))+$H238)*(1-INDEX(V$149:V$152,MATCH(Hafnia!$E238,$D$149:$D$152,0)))+INDEX(V$149:V$152,MATCH(Hafnia!$E238,$D$149:$D$152,0))*INDEX(V$154:V$157,MATCH(Hafnia!$E238,$D$154:$D$157,0)))*$N238</f>
        <v>33506.556917808222</v>
      </c>
      <c r="W238" s="185">
        <f>((INDEX('FFA &amp; Spot Rates'!G$23:G$43,MATCH(Hafnia!$E238,'FFA &amp; Spot Rates'!$C$23:$C$43,0))+$H238)*(1-INDEX(W$149:W$152,MATCH(Hafnia!$E238,$D$149:$D$152,0)))+INDEX(W$149:W$152,MATCH(Hafnia!$E238,$D$149:$D$152,0))*INDEX(W$154:W$157,MATCH(Hafnia!$E238,$D$154:$D$157,0)))*$N238</f>
        <v>27871.445205479453</v>
      </c>
      <c r="X238" s="185">
        <f>((INDEX('FFA &amp; Spot Rates'!H$23:H$43,MATCH(Hafnia!$E238,'FFA &amp; Spot Rates'!$C$23:$C$43,0))+$H238)*(1-INDEX(X$149:X$152,MATCH(Hafnia!$E238,$D$149:$D$152,0)))+INDEX(X$149:X$152,MATCH(Hafnia!$E238,$D$149:$D$152,0))*INDEX(X$154:X$157,MATCH(Hafnia!$E238,$D$154:$D$157,0)))*$N238</f>
        <v>39053.445205479453</v>
      </c>
      <c r="Y238" s="185">
        <f t="shared" si="45"/>
        <v>33329.861832191782</v>
      </c>
      <c r="Z238" s="185"/>
      <c r="AA238" s="185"/>
      <c r="AB238" s="185"/>
      <c r="AC238" s="185"/>
      <c r="AD238" s="185"/>
      <c r="AI238" s="21"/>
      <c r="AJ238" s="21"/>
    </row>
    <row r="239" spans="3:36" s="20" customFormat="1" outlineLevel="1" x14ac:dyDescent="0.2">
      <c r="C239" s="157" t="s">
        <v>950</v>
      </c>
      <c r="D239" s="157" t="s">
        <v>15</v>
      </c>
      <c r="E239" s="157" t="s">
        <v>15</v>
      </c>
      <c r="F239" s="158" t="s">
        <v>321</v>
      </c>
      <c r="G239" s="118">
        <v>1</v>
      </c>
      <c r="H239" s="152">
        <f>INDEX(Premiums!$G$27:$G$30,MATCH(Hafnia!E239,Premiums!$E$27:$E$30,0))*G239</f>
        <v>1313.4452054794519</v>
      </c>
      <c r="I239" s="186">
        <v>49686</v>
      </c>
      <c r="J239" s="159">
        <v>2017</v>
      </c>
      <c r="K239" s="63">
        <v>2024</v>
      </c>
      <c r="L239" s="56">
        <f t="shared" si="43"/>
        <v>7</v>
      </c>
      <c r="M239" s="1">
        <f t="shared" si="44"/>
        <v>39.478102564102556</v>
      </c>
      <c r="N239" s="184">
        <v>1</v>
      </c>
      <c r="P239" s="4">
        <f>INDEX('Vessel Valuations'!F$34:F$50,MATCH($E239,'Vessel Valuations'!$C$34:$C$50,0))</f>
        <v>7.8477078477077959E-5</v>
      </c>
      <c r="Q239" s="4">
        <f>INDEX('Vessel Valuations'!G$34:G$50,MATCH($E239,'Vessel Valuations'!$C$34:$C$50,0))</f>
        <v>2.6864801864801918E-2</v>
      </c>
      <c r="R239" s="4">
        <f>INDEX('Vessel Valuations'!H$34:H$50,MATCH($E239,'Vessel Valuations'!$C$34:$C$50,0))</f>
        <v>-2.5062160062160075</v>
      </c>
      <c r="S239" s="4">
        <f>INDEX('Vessel Valuations'!I$34:I$50,MATCH($E239,'Vessel Valuations'!$C$34:$C$50,0))</f>
        <v>55.67832167832168</v>
      </c>
      <c r="U239" s="202">
        <v>32888</v>
      </c>
      <c r="V239" s="185">
        <f>((INDEX('FFA &amp; Spot Rates'!F$23:F$43,MATCH(Hafnia!$E239,'FFA &amp; Spot Rates'!$C$23:$C$43,0))+$H239)*(1-INDEX(V$149:V$152,MATCH(Hafnia!$E239,$D$149:$D$152,0)))+INDEX(V$149:V$152,MATCH(Hafnia!$E239,$D$149:$D$152,0))*INDEX(V$154:V$157,MATCH(Hafnia!$E239,$D$154:$D$157,0)))*$N239</f>
        <v>33506.556917808222</v>
      </c>
      <c r="W239" s="185">
        <f>((INDEX('FFA &amp; Spot Rates'!G$23:G$43,MATCH(Hafnia!$E239,'FFA &amp; Spot Rates'!$C$23:$C$43,0))+$H239)*(1-INDEX(W$149:W$152,MATCH(Hafnia!$E239,$D$149:$D$152,0)))+INDEX(W$149:W$152,MATCH(Hafnia!$E239,$D$149:$D$152,0))*INDEX(W$154:W$157,MATCH(Hafnia!$E239,$D$154:$D$157,0)))*$N239</f>
        <v>27871.445205479453</v>
      </c>
      <c r="X239" s="185">
        <f>((INDEX('FFA &amp; Spot Rates'!H$23:H$43,MATCH(Hafnia!$E239,'FFA &amp; Spot Rates'!$C$23:$C$43,0))+$H239)*(1-INDEX(X$149:X$152,MATCH(Hafnia!$E239,$D$149:$D$152,0)))+INDEX(X$149:X$152,MATCH(Hafnia!$E239,$D$149:$D$152,0))*INDEX(X$154:X$157,MATCH(Hafnia!$E239,$D$154:$D$157,0)))*$N239</f>
        <v>39053.445205479453</v>
      </c>
      <c r="Y239" s="185">
        <f t="shared" si="45"/>
        <v>33329.861832191782</v>
      </c>
      <c r="Z239" s="185"/>
      <c r="AA239" s="185"/>
      <c r="AB239" s="185"/>
      <c r="AC239" s="185"/>
      <c r="AD239" s="185"/>
      <c r="AI239" s="21"/>
      <c r="AJ239" s="21"/>
    </row>
    <row r="240" spans="3:36" s="20" customFormat="1" outlineLevel="1" x14ac:dyDescent="0.2">
      <c r="C240" s="157" t="s">
        <v>951</v>
      </c>
      <c r="D240" s="157" t="s">
        <v>15</v>
      </c>
      <c r="E240" s="157" t="s">
        <v>15</v>
      </c>
      <c r="F240" s="158" t="s">
        <v>321</v>
      </c>
      <c r="G240" s="118">
        <v>1</v>
      </c>
      <c r="H240" s="152">
        <f>INDEX(Premiums!$G$27:$G$30,MATCH(Hafnia!E240,Premiums!$E$27:$E$30,0))*G240</f>
        <v>1313.4452054794519</v>
      </c>
      <c r="I240" s="186">
        <v>49560</v>
      </c>
      <c r="J240" s="159">
        <v>2016</v>
      </c>
      <c r="K240" s="63">
        <v>2024</v>
      </c>
      <c r="L240" s="56">
        <f t="shared" si="43"/>
        <v>8</v>
      </c>
      <c r="M240" s="1">
        <f t="shared" si="44"/>
        <v>37.388121212121206</v>
      </c>
      <c r="N240" s="184">
        <v>1</v>
      </c>
      <c r="P240" s="4">
        <f>INDEX('Vessel Valuations'!F$34:F$50,MATCH($E240,'Vessel Valuations'!$C$34:$C$50,0))</f>
        <v>7.8477078477077959E-5</v>
      </c>
      <c r="Q240" s="4">
        <f>INDEX('Vessel Valuations'!G$34:G$50,MATCH($E240,'Vessel Valuations'!$C$34:$C$50,0))</f>
        <v>2.6864801864801918E-2</v>
      </c>
      <c r="R240" s="4">
        <f>INDEX('Vessel Valuations'!H$34:H$50,MATCH($E240,'Vessel Valuations'!$C$34:$C$50,0))</f>
        <v>-2.5062160062160075</v>
      </c>
      <c r="S240" s="4">
        <f>INDEX('Vessel Valuations'!I$34:I$50,MATCH($E240,'Vessel Valuations'!$C$34:$C$50,0))</f>
        <v>55.67832167832168</v>
      </c>
      <c r="U240" s="202">
        <v>32888</v>
      </c>
      <c r="V240" s="185">
        <f>((INDEX('FFA &amp; Spot Rates'!F$23:F$43,MATCH(Hafnia!$E240,'FFA &amp; Spot Rates'!$C$23:$C$43,0))+$H240)*(1-INDEX(V$149:V$152,MATCH(Hafnia!$E240,$D$149:$D$152,0)))+INDEX(V$149:V$152,MATCH(Hafnia!$E240,$D$149:$D$152,0))*INDEX(V$154:V$157,MATCH(Hafnia!$E240,$D$154:$D$157,0)))*$N240</f>
        <v>33506.556917808222</v>
      </c>
      <c r="W240" s="185">
        <f>((INDEX('FFA &amp; Spot Rates'!G$23:G$43,MATCH(Hafnia!$E240,'FFA &amp; Spot Rates'!$C$23:$C$43,0))+$H240)*(1-INDEX(W$149:W$152,MATCH(Hafnia!$E240,$D$149:$D$152,0)))+INDEX(W$149:W$152,MATCH(Hafnia!$E240,$D$149:$D$152,0))*INDEX(W$154:W$157,MATCH(Hafnia!$E240,$D$154:$D$157,0)))*$N240</f>
        <v>27871.445205479453</v>
      </c>
      <c r="X240" s="185">
        <f>((INDEX('FFA &amp; Spot Rates'!H$23:H$43,MATCH(Hafnia!$E240,'FFA &amp; Spot Rates'!$C$23:$C$43,0))+$H240)*(1-INDEX(X$149:X$152,MATCH(Hafnia!$E240,$D$149:$D$152,0)))+INDEX(X$149:X$152,MATCH(Hafnia!$E240,$D$149:$D$152,0))*INDEX(X$154:X$157,MATCH(Hafnia!$E240,$D$154:$D$157,0)))*$N240</f>
        <v>39053.445205479453</v>
      </c>
      <c r="Y240" s="185">
        <f t="shared" si="45"/>
        <v>33329.861832191782</v>
      </c>
      <c r="Z240" s="185"/>
      <c r="AA240" s="185"/>
      <c r="AB240" s="185"/>
      <c r="AC240" s="185"/>
      <c r="AD240" s="185"/>
      <c r="AI240" s="21"/>
      <c r="AJ240" s="21"/>
    </row>
    <row r="241" spans="3:36" s="20" customFormat="1" outlineLevel="1" x14ac:dyDescent="0.2">
      <c r="C241" s="157" t="s">
        <v>952</v>
      </c>
      <c r="D241" s="157" t="s">
        <v>15</v>
      </c>
      <c r="E241" s="157" t="s">
        <v>15</v>
      </c>
      <c r="F241" s="158" t="s">
        <v>321</v>
      </c>
      <c r="G241" s="118">
        <v>1</v>
      </c>
      <c r="H241" s="152">
        <f>INDEX(Premiums!$G$27:$G$30,MATCH(Hafnia!E241,Premiums!$E$27:$E$30,0))*G241</f>
        <v>1313.4452054794519</v>
      </c>
      <c r="I241" s="186">
        <v>49516</v>
      </c>
      <c r="J241" s="159">
        <v>2016</v>
      </c>
      <c r="K241" s="63">
        <v>2024</v>
      </c>
      <c r="L241" s="56">
        <f t="shared" si="43"/>
        <v>8</v>
      </c>
      <c r="M241" s="1">
        <f t="shared" si="44"/>
        <v>37.388121212121206</v>
      </c>
      <c r="N241" s="184">
        <v>1</v>
      </c>
      <c r="P241" s="4">
        <f>INDEX('Vessel Valuations'!F$34:F$50,MATCH($E241,'Vessel Valuations'!$C$34:$C$50,0))</f>
        <v>7.8477078477077959E-5</v>
      </c>
      <c r="Q241" s="4">
        <f>INDEX('Vessel Valuations'!G$34:G$50,MATCH($E241,'Vessel Valuations'!$C$34:$C$50,0))</f>
        <v>2.6864801864801918E-2</v>
      </c>
      <c r="R241" s="4">
        <f>INDEX('Vessel Valuations'!H$34:H$50,MATCH($E241,'Vessel Valuations'!$C$34:$C$50,0))</f>
        <v>-2.5062160062160075</v>
      </c>
      <c r="S241" s="4">
        <f>INDEX('Vessel Valuations'!I$34:I$50,MATCH($E241,'Vessel Valuations'!$C$34:$C$50,0))</f>
        <v>55.67832167832168</v>
      </c>
      <c r="U241" s="202">
        <v>32888</v>
      </c>
      <c r="V241" s="185">
        <f>((INDEX('FFA &amp; Spot Rates'!F$23:F$43,MATCH(Hafnia!$E241,'FFA &amp; Spot Rates'!$C$23:$C$43,0))+$H241)*(1-INDEX(V$149:V$152,MATCH(Hafnia!$E241,$D$149:$D$152,0)))+INDEX(V$149:V$152,MATCH(Hafnia!$E241,$D$149:$D$152,0))*INDEX(V$154:V$157,MATCH(Hafnia!$E241,$D$154:$D$157,0)))*$N241</f>
        <v>33506.556917808222</v>
      </c>
      <c r="W241" s="185">
        <f>((INDEX('FFA &amp; Spot Rates'!G$23:G$43,MATCH(Hafnia!$E241,'FFA &amp; Spot Rates'!$C$23:$C$43,0))+$H241)*(1-INDEX(W$149:W$152,MATCH(Hafnia!$E241,$D$149:$D$152,0)))+INDEX(W$149:W$152,MATCH(Hafnia!$E241,$D$149:$D$152,0))*INDEX(W$154:W$157,MATCH(Hafnia!$E241,$D$154:$D$157,0)))*$N241</f>
        <v>27871.445205479453</v>
      </c>
      <c r="X241" s="185">
        <f>((INDEX('FFA &amp; Spot Rates'!H$23:H$43,MATCH(Hafnia!$E241,'FFA &amp; Spot Rates'!$C$23:$C$43,0))+$H241)*(1-INDEX(X$149:X$152,MATCH(Hafnia!$E241,$D$149:$D$152,0)))+INDEX(X$149:X$152,MATCH(Hafnia!$E241,$D$149:$D$152,0))*INDEX(X$154:X$157,MATCH(Hafnia!$E241,$D$154:$D$157,0)))*$N241</f>
        <v>39053.445205479453</v>
      </c>
      <c r="Y241" s="185">
        <f t="shared" si="45"/>
        <v>33329.861832191782</v>
      </c>
      <c r="Z241" s="185"/>
      <c r="AA241" s="185"/>
      <c r="AB241" s="185"/>
      <c r="AC241" s="185"/>
      <c r="AD241" s="185"/>
      <c r="AI241" s="21"/>
      <c r="AJ241" s="21"/>
    </row>
    <row r="242" spans="3:36" s="20" customFormat="1" outlineLevel="1" x14ac:dyDescent="0.2">
      <c r="C242" s="157" t="s">
        <v>953</v>
      </c>
      <c r="D242" s="157" t="s">
        <v>15</v>
      </c>
      <c r="E242" s="157" t="s">
        <v>15</v>
      </c>
      <c r="F242" s="158" t="s">
        <v>321</v>
      </c>
      <c r="G242" s="118">
        <v>1</v>
      </c>
      <c r="H242" s="152">
        <f>INDEX(Premiums!$G$27:$G$30,MATCH(Hafnia!E242,Premiums!$E$27:$E$30,0))*G242</f>
        <v>1313.4452054794519</v>
      </c>
      <c r="I242" s="186">
        <v>49513</v>
      </c>
      <c r="J242" s="159">
        <v>2016</v>
      </c>
      <c r="K242" s="63">
        <v>2024</v>
      </c>
      <c r="L242" s="56">
        <f t="shared" si="43"/>
        <v>8</v>
      </c>
      <c r="M242" s="1">
        <f t="shared" si="44"/>
        <v>37.388121212121206</v>
      </c>
      <c r="N242" s="184">
        <v>1</v>
      </c>
      <c r="P242" s="4">
        <f>INDEX('Vessel Valuations'!F$34:F$50,MATCH($E242,'Vessel Valuations'!$C$34:$C$50,0))</f>
        <v>7.8477078477077959E-5</v>
      </c>
      <c r="Q242" s="4">
        <f>INDEX('Vessel Valuations'!G$34:G$50,MATCH($E242,'Vessel Valuations'!$C$34:$C$50,0))</f>
        <v>2.6864801864801918E-2</v>
      </c>
      <c r="R242" s="4">
        <f>INDEX('Vessel Valuations'!H$34:H$50,MATCH($E242,'Vessel Valuations'!$C$34:$C$50,0))</f>
        <v>-2.5062160062160075</v>
      </c>
      <c r="S242" s="4">
        <f>INDEX('Vessel Valuations'!I$34:I$50,MATCH($E242,'Vessel Valuations'!$C$34:$C$50,0))</f>
        <v>55.67832167832168</v>
      </c>
      <c r="U242" s="202">
        <v>32888</v>
      </c>
      <c r="V242" s="185">
        <f>((INDEX('FFA &amp; Spot Rates'!F$23:F$43,MATCH(Hafnia!$E242,'FFA &amp; Spot Rates'!$C$23:$C$43,0))+$H242)*(1-INDEX(V$149:V$152,MATCH(Hafnia!$E242,$D$149:$D$152,0)))+INDEX(V$149:V$152,MATCH(Hafnia!$E242,$D$149:$D$152,0))*INDEX(V$154:V$157,MATCH(Hafnia!$E242,$D$154:$D$157,0)))*$N242</f>
        <v>33506.556917808222</v>
      </c>
      <c r="W242" s="185">
        <f>((INDEX('FFA &amp; Spot Rates'!G$23:G$43,MATCH(Hafnia!$E242,'FFA &amp; Spot Rates'!$C$23:$C$43,0))+$H242)*(1-INDEX(W$149:W$152,MATCH(Hafnia!$E242,$D$149:$D$152,0)))+INDEX(W$149:W$152,MATCH(Hafnia!$E242,$D$149:$D$152,0))*INDEX(W$154:W$157,MATCH(Hafnia!$E242,$D$154:$D$157,0)))*$N242</f>
        <v>27871.445205479453</v>
      </c>
      <c r="X242" s="185">
        <f>((INDEX('FFA &amp; Spot Rates'!H$23:H$43,MATCH(Hafnia!$E242,'FFA &amp; Spot Rates'!$C$23:$C$43,0))+$H242)*(1-INDEX(X$149:X$152,MATCH(Hafnia!$E242,$D$149:$D$152,0)))+INDEX(X$149:X$152,MATCH(Hafnia!$E242,$D$149:$D$152,0))*INDEX(X$154:X$157,MATCH(Hafnia!$E242,$D$154:$D$157,0)))*$N242</f>
        <v>39053.445205479453</v>
      </c>
      <c r="Y242" s="185">
        <f t="shared" si="45"/>
        <v>33329.861832191782</v>
      </c>
      <c r="Z242" s="185"/>
      <c r="AA242" s="185"/>
      <c r="AB242" s="185"/>
      <c r="AC242" s="185"/>
      <c r="AD242" s="185"/>
      <c r="AI242" s="21"/>
      <c r="AJ242" s="21"/>
    </row>
    <row r="243" spans="3:36" s="20" customFormat="1" outlineLevel="1" x14ac:dyDescent="0.2">
      <c r="C243" s="157" t="s">
        <v>954</v>
      </c>
      <c r="D243" s="157" t="s">
        <v>15</v>
      </c>
      <c r="E243" s="157" t="s">
        <v>15</v>
      </c>
      <c r="F243" s="158" t="s">
        <v>321</v>
      </c>
      <c r="G243" s="118">
        <v>1</v>
      </c>
      <c r="H243" s="152">
        <f>INDEX(Premiums!$G$27:$G$30,MATCH(Hafnia!E243,Premiums!$E$27:$E$30,0))*G243</f>
        <v>1313.4452054794519</v>
      </c>
      <c r="I243" s="186">
        <v>49478</v>
      </c>
      <c r="J243" s="159">
        <v>2016</v>
      </c>
      <c r="K243" s="63">
        <v>2024</v>
      </c>
      <c r="L243" s="56">
        <f t="shared" si="43"/>
        <v>8</v>
      </c>
      <c r="M243" s="1">
        <f t="shared" si="44"/>
        <v>37.388121212121206</v>
      </c>
      <c r="N243" s="184">
        <v>1</v>
      </c>
      <c r="P243" s="4">
        <f>INDEX('Vessel Valuations'!F$34:F$50,MATCH($E243,'Vessel Valuations'!$C$34:$C$50,0))</f>
        <v>7.8477078477077959E-5</v>
      </c>
      <c r="Q243" s="4">
        <f>INDEX('Vessel Valuations'!G$34:G$50,MATCH($E243,'Vessel Valuations'!$C$34:$C$50,0))</f>
        <v>2.6864801864801918E-2</v>
      </c>
      <c r="R243" s="4">
        <f>INDEX('Vessel Valuations'!H$34:H$50,MATCH($E243,'Vessel Valuations'!$C$34:$C$50,0))</f>
        <v>-2.5062160062160075</v>
      </c>
      <c r="S243" s="4">
        <f>INDEX('Vessel Valuations'!I$34:I$50,MATCH($E243,'Vessel Valuations'!$C$34:$C$50,0))</f>
        <v>55.67832167832168</v>
      </c>
      <c r="U243" s="202">
        <v>32888</v>
      </c>
      <c r="V243" s="185">
        <f>((INDEX('FFA &amp; Spot Rates'!F$23:F$43,MATCH(Hafnia!$E243,'FFA &amp; Spot Rates'!$C$23:$C$43,0))+$H243)*(1-INDEX(V$149:V$152,MATCH(Hafnia!$E243,$D$149:$D$152,0)))+INDEX(V$149:V$152,MATCH(Hafnia!$E243,$D$149:$D$152,0))*INDEX(V$154:V$157,MATCH(Hafnia!$E243,$D$154:$D$157,0)))*$N243</f>
        <v>33506.556917808222</v>
      </c>
      <c r="W243" s="185">
        <f>((INDEX('FFA &amp; Spot Rates'!G$23:G$43,MATCH(Hafnia!$E243,'FFA &amp; Spot Rates'!$C$23:$C$43,0))+$H243)*(1-INDEX(W$149:W$152,MATCH(Hafnia!$E243,$D$149:$D$152,0)))+INDEX(W$149:W$152,MATCH(Hafnia!$E243,$D$149:$D$152,0))*INDEX(W$154:W$157,MATCH(Hafnia!$E243,$D$154:$D$157,0)))*$N243</f>
        <v>27871.445205479453</v>
      </c>
      <c r="X243" s="185">
        <f>((INDEX('FFA &amp; Spot Rates'!H$23:H$43,MATCH(Hafnia!$E243,'FFA &amp; Spot Rates'!$C$23:$C$43,0))+$H243)*(1-INDEX(X$149:X$152,MATCH(Hafnia!$E243,$D$149:$D$152,0)))+INDEX(X$149:X$152,MATCH(Hafnia!$E243,$D$149:$D$152,0))*INDEX(X$154:X$157,MATCH(Hafnia!$E243,$D$154:$D$157,0)))*$N243</f>
        <v>39053.445205479453</v>
      </c>
      <c r="Y243" s="185">
        <f t="shared" si="45"/>
        <v>33329.861832191782</v>
      </c>
      <c r="Z243" s="185"/>
      <c r="AA243" s="185"/>
      <c r="AB243" s="185"/>
      <c r="AC243" s="185"/>
      <c r="AD243" s="185"/>
      <c r="AI243" s="21"/>
      <c r="AJ243" s="21"/>
    </row>
    <row r="244" spans="3:36" s="20" customFormat="1" outlineLevel="1" x14ac:dyDescent="0.2">
      <c r="C244" s="157" t="s">
        <v>955</v>
      </c>
      <c r="D244" s="157" t="s">
        <v>15</v>
      </c>
      <c r="E244" s="157" t="s">
        <v>15</v>
      </c>
      <c r="F244" s="158" t="s">
        <v>321</v>
      </c>
      <c r="G244" s="118">
        <v>1</v>
      </c>
      <c r="H244" s="152">
        <f>INDEX(Premiums!$G$27:$G$30,MATCH(Hafnia!E244,Premiums!$E$27:$E$30,0))*G244</f>
        <v>1313.4452054794519</v>
      </c>
      <c r="I244" s="186">
        <v>49126</v>
      </c>
      <c r="J244" s="159">
        <v>2015</v>
      </c>
      <c r="K244" s="63">
        <v>2024</v>
      </c>
      <c r="L244" s="56">
        <f t="shared" si="43"/>
        <v>9</v>
      </c>
      <c r="M244" s="1">
        <f t="shared" si="44"/>
        <v>35.355636363636357</v>
      </c>
      <c r="N244" s="184">
        <v>1</v>
      </c>
      <c r="P244" s="4">
        <f>INDEX('Vessel Valuations'!F$34:F$50,MATCH($E244,'Vessel Valuations'!$C$34:$C$50,0))</f>
        <v>7.8477078477077959E-5</v>
      </c>
      <c r="Q244" s="4">
        <f>INDEX('Vessel Valuations'!G$34:G$50,MATCH($E244,'Vessel Valuations'!$C$34:$C$50,0))</f>
        <v>2.6864801864801918E-2</v>
      </c>
      <c r="R244" s="4">
        <f>INDEX('Vessel Valuations'!H$34:H$50,MATCH($E244,'Vessel Valuations'!$C$34:$C$50,0))</f>
        <v>-2.5062160062160075</v>
      </c>
      <c r="S244" s="4">
        <f>INDEX('Vessel Valuations'!I$34:I$50,MATCH($E244,'Vessel Valuations'!$C$34:$C$50,0))</f>
        <v>55.67832167832168</v>
      </c>
      <c r="U244" s="202">
        <v>32888</v>
      </c>
      <c r="V244" s="185">
        <f>((INDEX('FFA &amp; Spot Rates'!F$23:F$43,MATCH(Hafnia!$E244,'FFA &amp; Spot Rates'!$C$23:$C$43,0))+$H244)*(1-INDEX(V$149:V$152,MATCH(Hafnia!$E244,$D$149:$D$152,0)))+INDEX(V$149:V$152,MATCH(Hafnia!$E244,$D$149:$D$152,0))*INDEX(V$154:V$157,MATCH(Hafnia!$E244,$D$154:$D$157,0)))*$N244</f>
        <v>33506.556917808222</v>
      </c>
      <c r="W244" s="185">
        <f>((INDEX('FFA &amp; Spot Rates'!G$23:G$43,MATCH(Hafnia!$E244,'FFA &amp; Spot Rates'!$C$23:$C$43,0))+$H244)*(1-INDEX(W$149:W$152,MATCH(Hafnia!$E244,$D$149:$D$152,0)))+INDEX(W$149:W$152,MATCH(Hafnia!$E244,$D$149:$D$152,0))*INDEX(W$154:W$157,MATCH(Hafnia!$E244,$D$154:$D$157,0)))*$N244</f>
        <v>27871.445205479453</v>
      </c>
      <c r="X244" s="185">
        <f>((INDEX('FFA &amp; Spot Rates'!H$23:H$43,MATCH(Hafnia!$E244,'FFA &amp; Spot Rates'!$C$23:$C$43,0))+$H244)*(1-INDEX(X$149:X$152,MATCH(Hafnia!$E244,$D$149:$D$152,0)))+INDEX(X$149:X$152,MATCH(Hafnia!$E244,$D$149:$D$152,0))*INDEX(X$154:X$157,MATCH(Hafnia!$E244,$D$154:$D$157,0)))*$N244</f>
        <v>39053.445205479453</v>
      </c>
      <c r="Y244" s="185">
        <f t="shared" si="45"/>
        <v>33329.861832191782</v>
      </c>
      <c r="Z244" s="185"/>
      <c r="AA244" s="185"/>
      <c r="AB244" s="185"/>
      <c r="AC244" s="185"/>
      <c r="AD244" s="185"/>
      <c r="AI244" s="21"/>
      <c r="AJ244" s="21"/>
    </row>
    <row r="245" spans="3:36" s="20" customFormat="1" outlineLevel="1" x14ac:dyDescent="0.2">
      <c r="C245" s="157" t="s">
        <v>956</v>
      </c>
      <c r="D245" s="157" t="s">
        <v>15</v>
      </c>
      <c r="E245" s="157" t="s">
        <v>15</v>
      </c>
      <c r="F245" s="158" t="s">
        <v>321</v>
      </c>
      <c r="G245" s="118">
        <v>1</v>
      </c>
      <c r="H245" s="152">
        <f>INDEX(Premiums!$G$27:$G$30,MATCH(Hafnia!E245,Premiums!$E$27:$E$30,0))*G245</f>
        <v>1313.4452054794519</v>
      </c>
      <c r="I245" s="186">
        <v>49126</v>
      </c>
      <c r="J245" s="159">
        <v>2015</v>
      </c>
      <c r="K245" s="63">
        <v>2024</v>
      </c>
      <c r="L245" s="56">
        <f t="shared" si="43"/>
        <v>9</v>
      </c>
      <c r="M245" s="1">
        <f t="shared" si="44"/>
        <v>35.355636363636357</v>
      </c>
      <c r="N245" s="184">
        <v>1</v>
      </c>
      <c r="P245" s="4">
        <f>INDEX('Vessel Valuations'!F$34:F$50,MATCH($E245,'Vessel Valuations'!$C$34:$C$50,0))</f>
        <v>7.8477078477077959E-5</v>
      </c>
      <c r="Q245" s="4">
        <f>INDEX('Vessel Valuations'!G$34:G$50,MATCH($E245,'Vessel Valuations'!$C$34:$C$50,0))</f>
        <v>2.6864801864801918E-2</v>
      </c>
      <c r="R245" s="4">
        <f>INDEX('Vessel Valuations'!H$34:H$50,MATCH($E245,'Vessel Valuations'!$C$34:$C$50,0))</f>
        <v>-2.5062160062160075</v>
      </c>
      <c r="S245" s="4">
        <f>INDEX('Vessel Valuations'!I$34:I$50,MATCH($E245,'Vessel Valuations'!$C$34:$C$50,0))</f>
        <v>55.67832167832168</v>
      </c>
      <c r="U245" s="202">
        <v>32888</v>
      </c>
      <c r="V245" s="185">
        <f>((INDEX('FFA &amp; Spot Rates'!F$23:F$43,MATCH(Hafnia!$E245,'FFA &amp; Spot Rates'!$C$23:$C$43,0))+$H245)*(1-INDEX(V$149:V$152,MATCH(Hafnia!$E245,$D$149:$D$152,0)))+INDEX(V$149:V$152,MATCH(Hafnia!$E245,$D$149:$D$152,0))*INDEX(V$154:V$157,MATCH(Hafnia!$E245,$D$154:$D$157,0)))*$N245</f>
        <v>33506.556917808222</v>
      </c>
      <c r="W245" s="185">
        <f>((INDEX('FFA &amp; Spot Rates'!G$23:G$43,MATCH(Hafnia!$E245,'FFA &amp; Spot Rates'!$C$23:$C$43,0))+$H245)*(1-INDEX(W$149:W$152,MATCH(Hafnia!$E245,$D$149:$D$152,0)))+INDEX(W$149:W$152,MATCH(Hafnia!$E245,$D$149:$D$152,0))*INDEX(W$154:W$157,MATCH(Hafnia!$E245,$D$154:$D$157,0)))*$N245</f>
        <v>27871.445205479453</v>
      </c>
      <c r="X245" s="185">
        <f>((INDEX('FFA &amp; Spot Rates'!H$23:H$43,MATCH(Hafnia!$E245,'FFA &amp; Spot Rates'!$C$23:$C$43,0))+$H245)*(1-INDEX(X$149:X$152,MATCH(Hafnia!$E245,$D$149:$D$152,0)))+INDEX(X$149:X$152,MATCH(Hafnia!$E245,$D$149:$D$152,0))*INDEX(X$154:X$157,MATCH(Hafnia!$E245,$D$154:$D$157,0)))*$N245</f>
        <v>39053.445205479453</v>
      </c>
      <c r="Y245" s="185">
        <f t="shared" si="45"/>
        <v>33329.861832191782</v>
      </c>
      <c r="Z245" s="185"/>
      <c r="AA245" s="185"/>
      <c r="AB245" s="185"/>
      <c r="AC245" s="185"/>
      <c r="AD245" s="185"/>
      <c r="AI245" s="21"/>
      <c r="AJ245" s="21"/>
    </row>
    <row r="246" spans="3:36" s="20" customFormat="1" outlineLevel="1" x14ac:dyDescent="0.2">
      <c r="C246" s="157" t="s">
        <v>957</v>
      </c>
      <c r="D246" s="157" t="s">
        <v>15</v>
      </c>
      <c r="E246" s="157" t="s">
        <v>15</v>
      </c>
      <c r="F246" s="158" t="s">
        <v>321</v>
      </c>
      <c r="G246" s="118">
        <v>1</v>
      </c>
      <c r="H246" s="152">
        <f>INDEX(Premiums!$G$27:$G$30,MATCH(Hafnia!E246,Premiums!$E$27:$E$30,0))*G246</f>
        <v>1313.4452054794519</v>
      </c>
      <c r="I246" s="186">
        <v>49126</v>
      </c>
      <c r="J246" s="159">
        <v>2015</v>
      </c>
      <c r="K246" s="63">
        <v>2024</v>
      </c>
      <c r="L246" s="56">
        <f t="shared" si="43"/>
        <v>9</v>
      </c>
      <c r="M246" s="1">
        <f t="shared" si="44"/>
        <v>35.355636363636357</v>
      </c>
      <c r="N246" s="184">
        <v>1</v>
      </c>
      <c r="P246" s="4">
        <f>INDEX('Vessel Valuations'!F$34:F$50,MATCH($E246,'Vessel Valuations'!$C$34:$C$50,0))</f>
        <v>7.8477078477077959E-5</v>
      </c>
      <c r="Q246" s="4">
        <f>INDEX('Vessel Valuations'!G$34:G$50,MATCH($E246,'Vessel Valuations'!$C$34:$C$50,0))</f>
        <v>2.6864801864801918E-2</v>
      </c>
      <c r="R246" s="4">
        <f>INDEX('Vessel Valuations'!H$34:H$50,MATCH($E246,'Vessel Valuations'!$C$34:$C$50,0))</f>
        <v>-2.5062160062160075</v>
      </c>
      <c r="S246" s="4">
        <f>INDEX('Vessel Valuations'!I$34:I$50,MATCH($E246,'Vessel Valuations'!$C$34:$C$50,0))</f>
        <v>55.67832167832168</v>
      </c>
      <c r="U246" s="202">
        <v>32888</v>
      </c>
      <c r="V246" s="185">
        <f>((INDEX('FFA &amp; Spot Rates'!F$23:F$43,MATCH(Hafnia!$E246,'FFA &amp; Spot Rates'!$C$23:$C$43,0))+$H246)*(1-INDEX(V$149:V$152,MATCH(Hafnia!$E246,$D$149:$D$152,0)))+INDEX(V$149:V$152,MATCH(Hafnia!$E246,$D$149:$D$152,0))*INDEX(V$154:V$157,MATCH(Hafnia!$E246,$D$154:$D$157,0)))*$N246</f>
        <v>33506.556917808222</v>
      </c>
      <c r="W246" s="185">
        <f>((INDEX('FFA &amp; Spot Rates'!G$23:G$43,MATCH(Hafnia!$E246,'FFA &amp; Spot Rates'!$C$23:$C$43,0))+$H246)*(1-INDEX(W$149:W$152,MATCH(Hafnia!$E246,$D$149:$D$152,0)))+INDEX(W$149:W$152,MATCH(Hafnia!$E246,$D$149:$D$152,0))*INDEX(W$154:W$157,MATCH(Hafnia!$E246,$D$154:$D$157,0)))*$N246</f>
        <v>27871.445205479453</v>
      </c>
      <c r="X246" s="185">
        <f>((INDEX('FFA &amp; Spot Rates'!H$23:H$43,MATCH(Hafnia!$E246,'FFA &amp; Spot Rates'!$C$23:$C$43,0))+$H246)*(1-INDEX(X$149:X$152,MATCH(Hafnia!$E246,$D$149:$D$152,0)))+INDEX(X$149:X$152,MATCH(Hafnia!$E246,$D$149:$D$152,0))*INDEX(X$154:X$157,MATCH(Hafnia!$E246,$D$154:$D$157,0)))*$N246</f>
        <v>39053.445205479453</v>
      </c>
      <c r="Y246" s="185">
        <f t="shared" si="45"/>
        <v>33329.861832191782</v>
      </c>
      <c r="Z246" s="185"/>
      <c r="AA246" s="185"/>
      <c r="AB246" s="185"/>
      <c r="AC246" s="185"/>
      <c r="AD246" s="185"/>
      <c r="AI246" s="21"/>
      <c r="AJ246" s="21"/>
    </row>
    <row r="247" spans="3:36" s="20" customFormat="1" outlineLevel="1" x14ac:dyDescent="0.2">
      <c r="C247" s="157" t="s">
        <v>958</v>
      </c>
      <c r="D247" s="157" t="s">
        <v>15</v>
      </c>
      <c r="E247" s="157" t="s">
        <v>15</v>
      </c>
      <c r="F247" s="158" t="s">
        <v>321</v>
      </c>
      <c r="G247" s="118">
        <v>0</v>
      </c>
      <c r="H247" s="152">
        <f>INDEX(Premiums!$G$27:$G$30,MATCH(Hafnia!E247,Premiums!$E$27:$E$30,0))*G247</f>
        <v>0</v>
      </c>
      <c r="I247" s="186">
        <v>44999</v>
      </c>
      <c r="J247" s="159">
        <v>2014</v>
      </c>
      <c r="K247" s="63">
        <v>2024</v>
      </c>
      <c r="L247" s="56">
        <f t="shared" si="43"/>
        <v>10</v>
      </c>
      <c r="M247" s="1">
        <f t="shared" si="44"/>
        <v>33.38111888111888</v>
      </c>
      <c r="N247" s="184">
        <v>1</v>
      </c>
      <c r="P247" s="4">
        <f>INDEX('Vessel Valuations'!F$34:F$50,MATCH($E247,'Vessel Valuations'!$C$34:$C$50,0))</f>
        <v>7.8477078477077959E-5</v>
      </c>
      <c r="Q247" s="4">
        <f>INDEX('Vessel Valuations'!G$34:G$50,MATCH($E247,'Vessel Valuations'!$C$34:$C$50,0))</f>
        <v>2.6864801864801918E-2</v>
      </c>
      <c r="R247" s="4">
        <f>INDEX('Vessel Valuations'!H$34:H$50,MATCH($E247,'Vessel Valuations'!$C$34:$C$50,0))</f>
        <v>-2.5062160062160075</v>
      </c>
      <c r="S247" s="4">
        <f>INDEX('Vessel Valuations'!I$34:I$50,MATCH($E247,'Vessel Valuations'!$C$34:$C$50,0))</f>
        <v>55.67832167832168</v>
      </c>
      <c r="U247" s="202">
        <v>32888</v>
      </c>
      <c r="V247" s="185">
        <f>((INDEX('FFA &amp; Spot Rates'!F$23:F$43,MATCH(Hafnia!$E247,'FFA &amp; Spot Rates'!$C$23:$C$43,0))+$H247)*(1-INDEX(V$149:V$152,MATCH(Hafnia!$E247,$D$149:$D$152,0)))+INDEX(V$149:V$152,MATCH(Hafnia!$E247,$D$149:$D$152,0))*INDEX(V$154:V$157,MATCH(Hafnia!$E247,$D$154:$D$157,0)))*$N247</f>
        <v>33073.119999999995</v>
      </c>
      <c r="W247" s="185">
        <f>((INDEX('FFA &amp; Spot Rates'!G$23:G$43,MATCH(Hafnia!$E247,'FFA &amp; Spot Rates'!$C$23:$C$43,0))+$H247)*(1-INDEX(W$149:W$152,MATCH(Hafnia!$E247,$D$149:$D$152,0)))+INDEX(W$149:W$152,MATCH(Hafnia!$E247,$D$149:$D$152,0))*INDEX(W$154:W$157,MATCH(Hafnia!$E247,$D$154:$D$157,0)))*$N247</f>
        <v>26558</v>
      </c>
      <c r="X247" s="185">
        <f>((INDEX('FFA &amp; Spot Rates'!H$23:H$43,MATCH(Hafnia!$E247,'FFA &amp; Spot Rates'!$C$23:$C$43,0))+$H247)*(1-INDEX(X$149:X$152,MATCH(Hafnia!$E247,$D$149:$D$152,0)))+INDEX(X$149:X$152,MATCH(Hafnia!$E247,$D$149:$D$152,0))*INDEX(X$154:X$157,MATCH(Hafnia!$E247,$D$154:$D$157,0)))*$N247</f>
        <v>37740</v>
      </c>
      <c r="Y247" s="185">
        <f t="shared" si="45"/>
        <v>32564.78</v>
      </c>
      <c r="Z247" s="185"/>
      <c r="AA247" s="185"/>
      <c r="AB247" s="185"/>
      <c r="AC247" s="185"/>
      <c r="AD247" s="185"/>
      <c r="AI247" s="21"/>
      <c r="AJ247" s="21"/>
    </row>
    <row r="248" spans="3:36" s="20" customFormat="1" outlineLevel="1" x14ac:dyDescent="0.2">
      <c r="C248" s="157" t="s">
        <v>959</v>
      </c>
      <c r="D248" s="157" t="s">
        <v>15</v>
      </c>
      <c r="E248" s="157" t="s">
        <v>15</v>
      </c>
      <c r="F248" s="158" t="s">
        <v>321</v>
      </c>
      <c r="G248" s="118">
        <v>0</v>
      </c>
      <c r="H248" s="152">
        <f>INDEX(Premiums!$G$27:$G$30,MATCH(Hafnia!E248,Premiums!$E$27:$E$30,0))*G248</f>
        <v>0</v>
      </c>
      <c r="I248" s="186">
        <v>44999</v>
      </c>
      <c r="J248" s="159">
        <v>2014</v>
      </c>
      <c r="K248" s="63">
        <v>2024</v>
      </c>
      <c r="L248" s="56">
        <f t="shared" si="43"/>
        <v>10</v>
      </c>
      <c r="M248" s="1">
        <f t="shared" si="44"/>
        <v>33.38111888111888</v>
      </c>
      <c r="N248" s="184">
        <v>1</v>
      </c>
      <c r="P248" s="4">
        <f>INDEX('Vessel Valuations'!F$34:F$50,MATCH($E248,'Vessel Valuations'!$C$34:$C$50,0))</f>
        <v>7.8477078477077959E-5</v>
      </c>
      <c r="Q248" s="4">
        <f>INDEX('Vessel Valuations'!G$34:G$50,MATCH($E248,'Vessel Valuations'!$C$34:$C$50,0))</f>
        <v>2.6864801864801918E-2</v>
      </c>
      <c r="R248" s="4">
        <f>INDEX('Vessel Valuations'!H$34:H$50,MATCH($E248,'Vessel Valuations'!$C$34:$C$50,0))</f>
        <v>-2.5062160062160075</v>
      </c>
      <c r="S248" s="4">
        <f>INDEX('Vessel Valuations'!I$34:I$50,MATCH($E248,'Vessel Valuations'!$C$34:$C$50,0))</f>
        <v>55.67832167832168</v>
      </c>
      <c r="U248" s="202">
        <v>32888</v>
      </c>
      <c r="V248" s="185">
        <f>((INDEX('FFA &amp; Spot Rates'!F$23:F$43,MATCH(Hafnia!$E248,'FFA &amp; Spot Rates'!$C$23:$C$43,0))+$H248)*(1-INDEX(V$149:V$152,MATCH(Hafnia!$E248,$D$149:$D$152,0)))+INDEX(V$149:V$152,MATCH(Hafnia!$E248,$D$149:$D$152,0))*INDEX(V$154:V$157,MATCH(Hafnia!$E248,$D$154:$D$157,0)))*$N248</f>
        <v>33073.119999999995</v>
      </c>
      <c r="W248" s="185">
        <f>((INDEX('FFA &amp; Spot Rates'!G$23:G$43,MATCH(Hafnia!$E248,'FFA &amp; Spot Rates'!$C$23:$C$43,0))+$H248)*(1-INDEX(W$149:W$152,MATCH(Hafnia!$E248,$D$149:$D$152,0)))+INDEX(W$149:W$152,MATCH(Hafnia!$E248,$D$149:$D$152,0))*INDEX(W$154:W$157,MATCH(Hafnia!$E248,$D$154:$D$157,0)))*$N248</f>
        <v>26558</v>
      </c>
      <c r="X248" s="185">
        <f>((INDEX('FFA &amp; Spot Rates'!H$23:H$43,MATCH(Hafnia!$E248,'FFA &amp; Spot Rates'!$C$23:$C$43,0))+$H248)*(1-INDEX(X$149:X$152,MATCH(Hafnia!$E248,$D$149:$D$152,0)))+INDEX(X$149:X$152,MATCH(Hafnia!$E248,$D$149:$D$152,0))*INDEX(X$154:X$157,MATCH(Hafnia!$E248,$D$154:$D$157,0)))*$N248</f>
        <v>37740</v>
      </c>
      <c r="Y248" s="185">
        <f t="shared" si="45"/>
        <v>32564.78</v>
      </c>
      <c r="Z248" s="185"/>
      <c r="AA248" s="185"/>
      <c r="AB248" s="185"/>
      <c r="AC248" s="185"/>
      <c r="AD248" s="185"/>
      <c r="AI248" s="21"/>
      <c r="AJ248" s="21"/>
    </row>
    <row r="249" spans="3:36" s="20" customFormat="1" outlineLevel="1" x14ac:dyDescent="0.2">
      <c r="C249" s="157" t="s">
        <v>960</v>
      </c>
      <c r="D249" s="157" t="s">
        <v>15</v>
      </c>
      <c r="E249" s="157" t="s">
        <v>15</v>
      </c>
      <c r="F249" s="158" t="s">
        <v>321</v>
      </c>
      <c r="G249" s="118">
        <v>0</v>
      </c>
      <c r="H249" s="152">
        <f>INDEX(Premiums!$G$27:$G$30,MATCH(Hafnia!E249,Premiums!$E$27:$E$30,0))*G249</f>
        <v>0</v>
      </c>
      <c r="I249" s="186">
        <v>44999</v>
      </c>
      <c r="J249" s="159">
        <v>2013</v>
      </c>
      <c r="K249" s="63">
        <v>2024</v>
      </c>
      <c r="L249" s="56">
        <f t="shared" si="43"/>
        <v>11</v>
      </c>
      <c r="M249" s="1">
        <f t="shared" si="44"/>
        <v>31.465039627039619</v>
      </c>
      <c r="N249" s="184">
        <v>1</v>
      </c>
      <c r="P249" s="4">
        <f>INDEX('Vessel Valuations'!F$34:F$50,MATCH($E249,'Vessel Valuations'!$C$34:$C$50,0))</f>
        <v>7.8477078477077959E-5</v>
      </c>
      <c r="Q249" s="4">
        <f>INDEX('Vessel Valuations'!G$34:G$50,MATCH($E249,'Vessel Valuations'!$C$34:$C$50,0))</f>
        <v>2.6864801864801918E-2</v>
      </c>
      <c r="R249" s="4">
        <f>INDEX('Vessel Valuations'!H$34:H$50,MATCH($E249,'Vessel Valuations'!$C$34:$C$50,0))</f>
        <v>-2.5062160062160075</v>
      </c>
      <c r="S249" s="4">
        <f>INDEX('Vessel Valuations'!I$34:I$50,MATCH($E249,'Vessel Valuations'!$C$34:$C$50,0))</f>
        <v>55.67832167832168</v>
      </c>
      <c r="U249" s="202">
        <v>32888</v>
      </c>
      <c r="V249" s="185">
        <f>((INDEX('FFA &amp; Spot Rates'!F$23:F$43,MATCH(Hafnia!$E249,'FFA &amp; Spot Rates'!$C$23:$C$43,0))+$H249)*(1-INDEX(V$149:V$152,MATCH(Hafnia!$E249,$D$149:$D$152,0)))+INDEX(V$149:V$152,MATCH(Hafnia!$E249,$D$149:$D$152,0))*INDEX(V$154:V$157,MATCH(Hafnia!$E249,$D$154:$D$157,0)))*$N249</f>
        <v>33073.119999999995</v>
      </c>
      <c r="W249" s="185">
        <f>((INDEX('FFA &amp; Spot Rates'!G$23:G$43,MATCH(Hafnia!$E249,'FFA &amp; Spot Rates'!$C$23:$C$43,0))+$H249)*(1-INDEX(W$149:W$152,MATCH(Hafnia!$E249,$D$149:$D$152,0)))+INDEX(W$149:W$152,MATCH(Hafnia!$E249,$D$149:$D$152,0))*INDEX(W$154:W$157,MATCH(Hafnia!$E249,$D$154:$D$157,0)))*$N249</f>
        <v>26558</v>
      </c>
      <c r="X249" s="185">
        <f>((INDEX('FFA &amp; Spot Rates'!H$23:H$43,MATCH(Hafnia!$E249,'FFA &amp; Spot Rates'!$C$23:$C$43,0))+$H249)*(1-INDEX(X$149:X$152,MATCH(Hafnia!$E249,$D$149:$D$152,0)))+INDEX(X$149:X$152,MATCH(Hafnia!$E249,$D$149:$D$152,0))*INDEX(X$154:X$157,MATCH(Hafnia!$E249,$D$154:$D$157,0)))*$N249</f>
        <v>37740</v>
      </c>
      <c r="Y249" s="185">
        <f t="shared" si="45"/>
        <v>32564.78</v>
      </c>
      <c r="Z249" s="185"/>
      <c r="AA249" s="185"/>
      <c r="AB249" s="185"/>
      <c r="AC249" s="185"/>
      <c r="AD249" s="185"/>
      <c r="AI249" s="21"/>
      <c r="AJ249" s="21"/>
    </row>
    <row r="250" spans="3:36" s="20" customFormat="1" outlineLevel="1" x14ac:dyDescent="0.2">
      <c r="C250" s="157" t="s">
        <v>961</v>
      </c>
      <c r="D250" s="157" t="s">
        <v>15</v>
      </c>
      <c r="E250" s="157" t="s">
        <v>15</v>
      </c>
      <c r="F250" s="158" t="s">
        <v>321</v>
      </c>
      <c r="G250" s="118">
        <v>1</v>
      </c>
      <c r="H250" s="152">
        <f>INDEX(Premiums!$G$27:$G$30,MATCH(Hafnia!E250,Premiums!$E$27:$E$30,0))*G250</f>
        <v>1313.4452054794519</v>
      </c>
      <c r="I250" s="186">
        <v>44999</v>
      </c>
      <c r="J250" s="159">
        <v>2017</v>
      </c>
      <c r="K250" s="63">
        <v>2024</v>
      </c>
      <c r="L250" s="56">
        <f t="shared" si="43"/>
        <v>7</v>
      </c>
      <c r="M250" s="1">
        <f t="shared" si="44"/>
        <v>39.478102564102556</v>
      </c>
      <c r="N250" s="184">
        <v>1</v>
      </c>
      <c r="P250" s="4">
        <f>INDEX('Vessel Valuations'!F$34:F$50,MATCH($E250,'Vessel Valuations'!$C$34:$C$50,0))</f>
        <v>7.8477078477077959E-5</v>
      </c>
      <c r="Q250" s="4">
        <f>INDEX('Vessel Valuations'!G$34:G$50,MATCH($E250,'Vessel Valuations'!$C$34:$C$50,0))</f>
        <v>2.6864801864801918E-2</v>
      </c>
      <c r="R250" s="4">
        <f>INDEX('Vessel Valuations'!H$34:H$50,MATCH($E250,'Vessel Valuations'!$C$34:$C$50,0))</f>
        <v>-2.5062160062160075</v>
      </c>
      <c r="S250" s="4">
        <f>INDEX('Vessel Valuations'!I$34:I$50,MATCH($E250,'Vessel Valuations'!$C$34:$C$50,0))</f>
        <v>55.67832167832168</v>
      </c>
      <c r="U250" s="202">
        <v>32888</v>
      </c>
      <c r="V250" s="185">
        <f>((INDEX('FFA &amp; Spot Rates'!F$23:F$43,MATCH(Hafnia!$E250,'FFA &amp; Spot Rates'!$C$23:$C$43,0))+$H250)*(1-INDEX(V$149:V$152,MATCH(Hafnia!$E250,$D$149:$D$152,0)))+INDEX(V$149:V$152,MATCH(Hafnia!$E250,$D$149:$D$152,0))*INDEX(V$154:V$157,MATCH(Hafnia!$E250,$D$154:$D$157,0)))*$N250</f>
        <v>33506.556917808222</v>
      </c>
      <c r="W250" s="185">
        <f>((INDEX('FFA &amp; Spot Rates'!G$23:G$43,MATCH(Hafnia!$E250,'FFA &amp; Spot Rates'!$C$23:$C$43,0))+$H250)*(1-INDEX(W$149:W$152,MATCH(Hafnia!$E250,$D$149:$D$152,0)))+INDEX(W$149:W$152,MATCH(Hafnia!$E250,$D$149:$D$152,0))*INDEX(W$154:W$157,MATCH(Hafnia!$E250,$D$154:$D$157,0)))*$N250</f>
        <v>27871.445205479453</v>
      </c>
      <c r="X250" s="185">
        <f>((INDEX('FFA &amp; Spot Rates'!H$23:H$43,MATCH(Hafnia!$E250,'FFA &amp; Spot Rates'!$C$23:$C$43,0))+$H250)*(1-INDEX(X$149:X$152,MATCH(Hafnia!$E250,$D$149:$D$152,0)))+INDEX(X$149:X$152,MATCH(Hafnia!$E250,$D$149:$D$152,0))*INDEX(X$154:X$157,MATCH(Hafnia!$E250,$D$154:$D$157,0)))*$N250</f>
        <v>39053.445205479453</v>
      </c>
      <c r="Y250" s="185">
        <f t="shared" si="45"/>
        <v>33329.861832191782</v>
      </c>
      <c r="Z250" s="185"/>
      <c r="AA250" s="185"/>
      <c r="AB250" s="185"/>
      <c r="AC250" s="185"/>
      <c r="AD250" s="185"/>
      <c r="AI250" s="21"/>
      <c r="AJ250" s="21"/>
    </row>
    <row r="251" spans="3:36" s="20" customFormat="1" outlineLevel="1" x14ac:dyDescent="0.2">
      <c r="C251" s="157" t="s">
        <v>962</v>
      </c>
      <c r="D251" s="157" t="s">
        <v>963</v>
      </c>
      <c r="E251" s="157" t="s">
        <v>15</v>
      </c>
      <c r="F251" s="158" t="s">
        <v>321</v>
      </c>
      <c r="G251" s="118">
        <v>1</v>
      </c>
      <c r="H251" s="152">
        <f>INDEX(Premiums!$G$27:$G$30,MATCH(Hafnia!E251,Premiums!$E$27:$E$30,0))*G251</f>
        <v>1313.4452054794519</v>
      </c>
      <c r="I251" s="186">
        <v>44999</v>
      </c>
      <c r="J251" s="159">
        <v>2017</v>
      </c>
      <c r="K251" s="63">
        <v>2024</v>
      </c>
      <c r="L251" s="56">
        <f t="shared" si="43"/>
        <v>7</v>
      </c>
      <c r="M251" s="1">
        <f t="shared" si="44"/>
        <v>39.478102564102556</v>
      </c>
      <c r="N251" s="184">
        <v>1</v>
      </c>
      <c r="P251" s="4">
        <f>INDEX('Vessel Valuations'!F$34:F$50,MATCH($E251,'Vessel Valuations'!$C$34:$C$50,0))</f>
        <v>7.8477078477077959E-5</v>
      </c>
      <c r="Q251" s="4">
        <f>INDEX('Vessel Valuations'!G$34:G$50,MATCH($E251,'Vessel Valuations'!$C$34:$C$50,0))</f>
        <v>2.6864801864801918E-2</v>
      </c>
      <c r="R251" s="4">
        <f>INDEX('Vessel Valuations'!H$34:H$50,MATCH($E251,'Vessel Valuations'!$C$34:$C$50,0))</f>
        <v>-2.5062160062160075</v>
      </c>
      <c r="S251" s="4">
        <f>INDEX('Vessel Valuations'!I$34:I$50,MATCH($E251,'Vessel Valuations'!$C$34:$C$50,0))</f>
        <v>55.67832167832168</v>
      </c>
      <c r="U251" s="202">
        <v>32888</v>
      </c>
      <c r="V251" s="185">
        <f>((INDEX('FFA &amp; Spot Rates'!F$23:F$43,MATCH(Hafnia!$E251,'FFA &amp; Spot Rates'!$C$23:$C$43,0))+$H251)*(1-INDEX(V$149:V$152,MATCH(Hafnia!$E251,$D$149:$D$152,0)))+INDEX(V$149:V$152,MATCH(Hafnia!$E251,$D$149:$D$152,0))*INDEX(V$154:V$157,MATCH(Hafnia!$E251,$D$154:$D$157,0)))*$N251</f>
        <v>33506.556917808222</v>
      </c>
      <c r="W251" s="185">
        <f>((INDEX('FFA &amp; Spot Rates'!G$23:G$43,MATCH(Hafnia!$E251,'FFA &amp; Spot Rates'!$C$23:$C$43,0))+$H251)*(1-INDEX(W$149:W$152,MATCH(Hafnia!$E251,$D$149:$D$152,0)))+INDEX(W$149:W$152,MATCH(Hafnia!$E251,$D$149:$D$152,0))*INDEX(W$154:W$157,MATCH(Hafnia!$E251,$D$154:$D$157,0)))*$N251</f>
        <v>27871.445205479453</v>
      </c>
      <c r="X251" s="185">
        <f>((INDEX('FFA &amp; Spot Rates'!H$23:H$43,MATCH(Hafnia!$E251,'FFA &amp; Spot Rates'!$C$23:$C$43,0))+$H251)*(1-INDEX(X$149:X$152,MATCH(Hafnia!$E251,$D$149:$D$152,0)))+INDEX(X$149:X$152,MATCH(Hafnia!$E251,$D$149:$D$152,0))*INDEX(X$154:X$157,MATCH(Hafnia!$E251,$D$154:$D$157,0)))*$N251</f>
        <v>39053.445205479453</v>
      </c>
      <c r="Y251" s="185">
        <f t="shared" si="45"/>
        <v>33329.861832191782</v>
      </c>
      <c r="Z251" s="185"/>
      <c r="AA251" s="185"/>
      <c r="AB251" s="185"/>
      <c r="AC251" s="185"/>
      <c r="AD251" s="185"/>
      <c r="AI251" s="21"/>
      <c r="AJ251" s="21"/>
    </row>
    <row r="252" spans="3:36" s="20" customFormat="1" outlineLevel="1" x14ac:dyDescent="0.2">
      <c r="C252" s="157" t="s">
        <v>965</v>
      </c>
      <c r="D252" s="157" t="s">
        <v>964</v>
      </c>
      <c r="E252" s="157" t="s">
        <v>15</v>
      </c>
      <c r="F252" s="158" t="s">
        <v>321</v>
      </c>
      <c r="G252" s="118">
        <v>1</v>
      </c>
      <c r="H252" s="152">
        <f>INDEX(Premiums!$G$27:$G$30,MATCH(Hafnia!E252,Premiums!$E$27:$E$30,0))*G252</f>
        <v>1313.4452054794519</v>
      </c>
      <c r="I252" s="186">
        <v>39067</v>
      </c>
      <c r="J252" s="159">
        <v>2015</v>
      </c>
      <c r="K252" s="63">
        <v>2024</v>
      </c>
      <c r="L252" s="56">
        <f t="shared" si="43"/>
        <v>9</v>
      </c>
      <c r="M252" s="1">
        <f t="shared" si="44"/>
        <v>35.355636363636357</v>
      </c>
      <c r="N252" s="184">
        <v>1</v>
      </c>
      <c r="P252" s="4">
        <f>INDEX('Vessel Valuations'!F$34:F$50,MATCH($E252,'Vessel Valuations'!$C$34:$C$50,0))</f>
        <v>7.8477078477077959E-5</v>
      </c>
      <c r="Q252" s="4">
        <f>INDEX('Vessel Valuations'!G$34:G$50,MATCH($E252,'Vessel Valuations'!$C$34:$C$50,0))</f>
        <v>2.6864801864801918E-2</v>
      </c>
      <c r="R252" s="4">
        <f>INDEX('Vessel Valuations'!H$34:H$50,MATCH($E252,'Vessel Valuations'!$C$34:$C$50,0))</f>
        <v>-2.5062160062160075</v>
      </c>
      <c r="S252" s="4">
        <f>INDEX('Vessel Valuations'!I$34:I$50,MATCH($E252,'Vessel Valuations'!$C$34:$C$50,0))</f>
        <v>55.67832167832168</v>
      </c>
      <c r="U252" s="202">
        <v>28307</v>
      </c>
      <c r="V252" s="185">
        <f>((INDEX('FFA &amp; Spot Rates'!F$23:F$43,MATCH(Hafnia!$E252,'FFA &amp; Spot Rates'!$C$23:$C$43,0))+$H252)*(1-INDEX(V$149:V$152,MATCH(Hafnia!$E252,$D$149:$D$152,0)))+INDEX(V$149:V$152,MATCH(Hafnia!$E252,$D$149:$D$152,0))*INDEX(V$154:V$157,MATCH(Hafnia!$E252,$D$154:$D$157,0)))*$N252</f>
        <v>33506.556917808222</v>
      </c>
      <c r="W252" s="185">
        <f>((INDEX('FFA &amp; Spot Rates'!G$23:G$43,MATCH(Hafnia!$E252,'FFA &amp; Spot Rates'!$C$23:$C$43,0))+$H252)*(1-INDEX(W$149:W$152,MATCH(Hafnia!$E252,$D$149:$D$152,0)))+INDEX(W$149:W$152,MATCH(Hafnia!$E252,$D$149:$D$152,0))*INDEX(W$154:W$157,MATCH(Hafnia!$E252,$D$154:$D$157,0)))*$N252</f>
        <v>27871.445205479453</v>
      </c>
      <c r="X252" s="185">
        <f>((INDEX('FFA &amp; Spot Rates'!H$23:H$43,MATCH(Hafnia!$E252,'FFA &amp; Spot Rates'!$C$23:$C$43,0))+$H252)*(1-INDEX(X$149:X$152,MATCH(Hafnia!$E252,$D$149:$D$152,0)))+INDEX(X$149:X$152,MATCH(Hafnia!$E252,$D$149:$D$152,0))*INDEX(X$154:X$157,MATCH(Hafnia!$E252,$D$154:$D$157,0)))*$N252</f>
        <v>39053.445205479453</v>
      </c>
      <c r="Y252" s="185">
        <f t="shared" si="45"/>
        <v>32184.611832191782</v>
      </c>
      <c r="Z252" s="185"/>
      <c r="AA252" s="185"/>
      <c r="AB252" s="185"/>
      <c r="AC252" s="185"/>
      <c r="AD252" s="185"/>
      <c r="AI252" s="21"/>
      <c r="AJ252" s="21"/>
    </row>
    <row r="253" spans="3:36" s="20" customFormat="1" outlineLevel="1" x14ac:dyDescent="0.2">
      <c r="C253" s="157" t="s">
        <v>966</v>
      </c>
      <c r="D253" s="157" t="s">
        <v>964</v>
      </c>
      <c r="E253" s="157" t="s">
        <v>15</v>
      </c>
      <c r="F253" s="158" t="s">
        <v>321</v>
      </c>
      <c r="G253" s="118">
        <v>1</v>
      </c>
      <c r="H253" s="152">
        <f>INDEX(Premiums!$G$27:$G$30,MATCH(Hafnia!E253,Premiums!$E$27:$E$30,0))*G253</f>
        <v>1313.4452054794519</v>
      </c>
      <c r="I253" s="186">
        <v>39067</v>
      </c>
      <c r="J253" s="159">
        <v>2015</v>
      </c>
      <c r="K253" s="63">
        <v>2024</v>
      </c>
      <c r="L253" s="56">
        <f t="shared" si="43"/>
        <v>9</v>
      </c>
      <c r="M253" s="1">
        <f t="shared" si="44"/>
        <v>35.355636363636357</v>
      </c>
      <c r="N253" s="184">
        <v>1</v>
      </c>
      <c r="P253" s="4">
        <f>INDEX('Vessel Valuations'!F$34:F$50,MATCH($E253,'Vessel Valuations'!$C$34:$C$50,0))</f>
        <v>7.8477078477077959E-5</v>
      </c>
      <c r="Q253" s="4">
        <f>INDEX('Vessel Valuations'!G$34:G$50,MATCH($E253,'Vessel Valuations'!$C$34:$C$50,0))</f>
        <v>2.6864801864801918E-2</v>
      </c>
      <c r="R253" s="4">
        <f>INDEX('Vessel Valuations'!H$34:H$50,MATCH($E253,'Vessel Valuations'!$C$34:$C$50,0))</f>
        <v>-2.5062160062160075</v>
      </c>
      <c r="S253" s="4">
        <f>INDEX('Vessel Valuations'!I$34:I$50,MATCH($E253,'Vessel Valuations'!$C$34:$C$50,0))</f>
        <v>55.67832167832168</v>
      </c>
      <c r="U253" s="202">
        <v>28307</v>
      </c>
      <c r="V253" s="185">
        <f>((INDEX('FFA &amp; Spot Rates'!F$23:F$43,MATCH(Hafnia!$E253,'FFA &amp; Spot Rates'!$C$23:$C$43,0))+$H253)*(1-INDEX(V$149:V$152,MATCH(Hafnia!$E253,$D$149:$D$152,0)))+INDEX(V$149:V$152,MATCH(Hafnia!$E253,$D$149:$D$152,0))*INDEX(V$154:V$157,MATCH(Hafnia!$E253,$D$154:$D$157,0)))*$N253</f>
        <v>33506.556917808222</v>
      </c>
      <c r="W253" s="185">
        <f>((INDEX('FFA &amp; Spot Rates'!G$23:G$43,MATCH(Hafnia!$E253,'FFA &amp; Spot Rates'!$C$23:$C$43,0))+$H253)*(1-INDEX(W$149:W$152,MATCH(Hafnia!$E253,$D$149:$D$152,0)))+INDEX(W$149:W$152,MATCH(Hafnia!$E253,$D$149:$D$152,0))*INDEX(W$154:W$157,MATCH(Hafnia!$E253,$D$154:$D$157,0)))*$N253</f>
        <v>27871.445205479453</v>
      </c>
      <c r="X253" s="185">
        <f>((INDEX('FFA &amp; Spot Rates'!H$23:H$43,MATCH(Hafnia!$E253,'FFA &amp; Spot Rates'!$C$23:$C$43,0))+$H253)*(1-INDEX(X$149:X$152,MATCH(Hafnia!$E253,$D$149:$D$152,0)))+INDEX(X$149:X$152,MATCH(Hafnia!$E253,$D$149:$D$152,0))*INDEX(X$154:X$157,MATCH(Hafnia!$E253,$D$154:$D$157,0)))*$N253</f>
        <v>39053.445205479453</v>
      </c>
      <c r="Y253" s="185">
        <f t="shared" si="45"/>
        <v>32184.611832191782</v>
      </c>
      <c r="Z253" s="185"/>
      <c r="AA253" s="185"/>
      <c r="AB253" s="185"/>
      <c r="AC253" s="185"/>
      <c r="AD253" s="185"/>
      <c r="AI253" s="21"/>
      <c r="AJ253" s="21"/>
    </row>
    <row r="254" spans="3:36" s="20" customFormat="1" outlineLevel="1" x14ac:dyDescent="0.2">
      <c r="C254" s="157" t="s">
        <v>967</v>
      </c>
      <c r="D254" s="157" t="s">
        <v>964</v>
      </c>
      <c r="E254" s="157" t="s">
        <v>15</v>
      </c>
      <c r="F254" s="158" t="s">
        <v>321</v>
      </c>
      <c r="G254" s="118">
        <v>1</v>
      </c>
      <c r="H254" s="152">
        <f>INDEX(Premiums!$G$27:$G$30,MATCH(Hafnia!E254,Premiums!$E$27:$E$30,0))*G254</f>
        <v>1313.4452054794519</v>
      </c>
      <c r="I254" s="186">
        <v>39067</v>
      </c>
      <c r="J254" s="159">
        <v>2015</v>
      </c>
      <c r="K254" s="63">
        <v>2024</v>
      </c>
      <c r="L254" s="56">
        <f t="shared" si="43"/>
        <v>9</v>
      </c>
      <c r="M254" s="1">
        <f t="shared" si="44"/>
        <v>35.355636363636357</v>
      </c>
      <c r="N254" s="184">
        <v>1</v>
      </c>
      <c r="P254" s="4">
        <f>INDEX('Vessel Valuations'!F$34:F$50,MATCH($E254,'Vessel Valuations'!$C$34:$C$50,0))</f>
        <v>7.8477078477077959E-5</v>
      </c>
      <c r="Q254" s="4">
        <f>INDEX('Vessel Valuations'!G$34:G$50,MATCH($E254,'Vessel Valuations'!$C$34:$C$50,0))</f>
        <v>2.6864801864801918E-2</v>
      </c>
      <c r="R254" s="4">
        <f>INDEX('Vessel Valuations'!H$34:H$50,MATCH($E254,'Vessel Valuations'!$C$34:$C$50,0))</f>
        <v>-2.5062160062160075</v>
      </c>
      <c r="S254" s="4">
        <f>INDEX('Vessel Valuations'!I$34:I$50,MATCH($E254,'Vessel Valuations'!$C$34:$C$50,0))</f>
        <v>55.67832167832168</v>
      </c>
      <c r="U254" s="202">
        <v>28307</v>
      </c>
      <c r="V254" s="185">
        <f>((INDEX('FFA &amp; Spot Rates'!F$23:F$43,MATCH(Hafnia!$E254,'FFA &amp; Spot Rates'!$C$23:$C$43,0))+$H254)*(1-INDEX(V$149:V$152,MATCH(Hafnia!$E254,$D$149:$D$152,0)))+INDEX(V$149:V$152,MATCH(Hafnia!$E254,$D$149:$D$152,0))*INDEX(V$154:V$157,MATCH(Hafnia!$E254,$D$154:$D$157,0)))*$N254</f>
        <v>33506.556917808222</v>
      </c>
      <c r="W254" s="185">
        <f>((INDEX('FFA &amp; Spot Rates'!G$23:G$43,MATCH(Hafnia!$E254,'FFA &amp; Spot Rates'!$C$23:$C$43,0))+$H254)*(1-INDEX(W$149:W$152,MATCH(Hafnia!$E254,$D$149:$D$152,0)))+INDEX(W$149:W$152,MATCH(Hafnia!$E254,$D$149:$D$152,0))*INDEX(W$154:W$157,MATCH(Hafnia!$E254,$D$154:$D$157,0)))*$N254</f>
        <v>27871.445205479453</v>
      </c>
      <c r="X254" s="185">
        <f>((INDEX('FFA &amp; Spot Rates'!H$23:H$43,MATCH(Hafnia!$E254,'FFA &amp; Spot Rates'!$C$23:$C$43,0))+$H254)*(1-INDEX(X$149:X$152,MATCH(Hafnia!$E254,$D$149:$D$152,0)))+INDEX(X$149:X$152,MATCH(Hafnia!$E254,$D$149:$D$152,0))*INDEX(X$154:X$157,MATCH(Hafnia!$E254,$D$154:$D$157,0)))*$N254</f>
        <v>39053.445205479453</v>
      </c>
      <c r="Y254" s="185">
        <f t="shared" si="45"/>
        <v>32184.611832191782</v>
      </c>
      <c r="Z254" s="185"/>
      <c r="AA254" s="185"/>
      <c r="AB254" s="185"/>
      <c r="AC254" s="185"/>
      <c r="AD254" s="185"/>
      <c r="AI254" s="21"/>
      <c r="AJ254" s="21"/>
    </row>
    <row r="255" spans="3:36" s="20" customFormat="1" outlineLevel="1" x14ac:dyDescent="0.2">
      <c r="C255" s="157" t="s">
        <v>968</v>
      </c>
      <c r="D255" s="157" t="s">
        <v>964</v>
      </c>
      <c r="E255" s="157" t="s">
        <v>15</v>
      </c>
      <c r="F255" s="158" t="s">
        <v>321</v>
      </c>
      <c r="G255" s="118">
        <v>1</v>
      </c>
      <c r="H255" s="152">
        <f>INDEX(Premiums!$G$27:$G$30,MATCH(Hafnia!E255,Premiums!$E$27:$E$30,0))*G255</f>
        <v>1313.4452054794519</v>
      </c>
      <c r="I255" s="186">
        <v>39067</v>
      </c>
      <c r="J255" s="159">
        <v>2016</v>
      </c>
      <c r="K255" s="63">
        <v>2024</v>
      </c>
      <c r="L255" s="56">
        <f t="shared" si="43"/>
        <v>8</v>
      </c>
      <c r="M255" s="1">
        <f t="shared" si="44"/>
        <v>37.388121212121206</v>
      </c>
      <c r="N255" s="184">
        <v>1</v>
      </c>
      <c r="P255" s="4">
        <f>INDEX('Vessel Valuations'!F$34:F$50,MATCH($E255,'Vessel Valuations'!$C$34:$C$50,0))</f>
        <v>7.8477078477077959E-5</v>
      </c>
      <c r="Q255" s="4">
        <f>INDEX('Vessel Valuations'!G$34:G$50,MATCH($E255,'Vessel Valuations'!$C$34:$C$50,0))</f>
        <v>2.6864801864801918E-2</v>
      </c>
      <c r="R255" s="4">
        <f>INDEX('Vessel Valuations'!H$34:H$50,MATCH($E255,'Vessel Valuations'!$C$34:$C$50,0))</f>
        <v>-2.5062160062160075</v>
      </c>
      <c r="S255" s="4">
        <f>INDEX('Vessel Valuations'!I$34:I$50,MATCH($E255,'Vessel Valuations'!$C$34:$C$50,0))</f>
        <v>55.67832167832168</v>
      </c>
      <c r="U255" s="202">
        <v>28307</v>
      </c>
      <c r="V255" s="185">
        <f>((INDEX('FFA &amp; Spot Rates'!F$23:F$43,MATCH(Hafnia!$E255,'FFA &amp; Spot Rates'!$C$23:$C$43,0))+$H255)*(1-INDEX(V$149:V$152,MATCH(Hafnia!$E255,$D$149:$D$152,0)))+INDEX(V$149:V$152,MATCH(Hafnia!$E255,$D$149:$D$152,0))*INDEX(V$154:V$157,MATCH(Hafnia!$E255,$D$154:$D$157,0)))*$N255</f>
        <v>33506.556917808222</v>
      </c>
      <c r="W255" s="185">
        <f>((INDEX('FFA &amp; Spot Rates'!G$23:G$43,MATCH(Hafnia!$E255,'FFA &amp; Spot Rates'!$C$23:$C$43,0))+$H255)*(1-INDEX(W$149:W$152,MATCH(Hafnia!$E255,$D$149:$D$152,0)))+INDEX(W$149:W$152,MATCH(Hafnia!$E255,$D$149:$D$152,0))*INDEX(W$154:W$157,MATCH(Hafnia!$E255,$D$154:$D$157,0)))*$N255</f>
        <v>27871.445205479453</v>
      </c>
      <c r="X255" s="185">
        <f>((INDEX('FFA &amp; Spot Rates'!H$23:H$43,MATCH(Hafnia!$E255,'FFA &amp; Spot Rates'!$C$23:$C$43,0))+$H255)*(1-INDEX(X$149:X$152,MATCH(Hafnia!$E255,$D$149:$D$152,0)))+INDEX(X$149:X$152,MATCH(Hafnia!$E255,$D$149:$D$152,0))*INDEX(X$154:X$157,MATCH(Hafnia!$E255,$D$154:$D$157,0)))*$N255</f>
        <v>39053.445205479453</v>
      </c>
      <c r="Y255" s="185">
        <f t="shared" si="45"/>
        <v>32184.611832191782</v>
      </c>
      <c r="Z255" s="185"/>
      <c r="AA255" s="185"/>
      <c r="AB255" s="185"/>
      <c r="AC255" s="185"/>
      <c r="AD255" s="185"/>
      <c r="AI255" s="21"/>
      <c r="AJ255" s="21"/>
    </row>
    <row r="256" spans="3:36" s="20" customFormat="1" outlineLevel="1" x14ac:dyDescent="0.2">
      <c r="C256" s="157" t="s">
        <v>969</v>
      </c>
      <c r="D256" s="157" t="s">
        <v>964</v>
      </c>
      <c r="E256" s="157" t="s">
        <v>15</v>
      </c>
      <c r="F256" s="158" t="s">
        <v>321</v>
      </c>
      <c r="G256" s="118">
        <v>1</v>
      </c>
      <c r="H256" s="152">
        <f>INDEX(Premiums!$G$27:$G$30,MATCH(Hafnia!E256,Premiums!$E$27:$E$30,0))*G256</f>
        <v>1313.4452054794519</v>
      </c>
      <c r="I256" s="186">
        <v>39067</v>
      </c>
      <c r="J256" s="159">
        <v>2015</v>
      </c>
      <c r="K256" s="63">
        <v>2024</v>
      </c>
      <c r="L256" s="56">
        <f t="shared" ref="L256:L287" si="46">+(K256-J256)</f>
        <v>9</v>
      </c>
      <c r="M256" s="1">
        <f t="shared" si="44"/>
        <v>35.355636363636357</v>
      </c>
      <c r="N256" s="184">
        <v>1</v>
      </c>
      <c r="P256" s="4">
        <f>INDEX('Vessel Valuations'!F$34:F$50,MATCH($E256,'Vessel Valuations'!$C$34:$C$50,0))</f>
        <v>7.8477078477077959E-5</v>
      </c>
      <c r="Q256" s="4">
        <f>INDEX('Vessel Valuations'!G$34:G$50,MATCH($E256,'Vessel Valuations'!$C$34:$C$50,0))</f>
        <v>2.6864801864801918E-2</v>
      </c>
      <c r="R256" s="4">
        <f>INDEX('Vessel Valuations'!H$34:H$50,MATCH($E256,'Vessel Valuations'!$C$34:$C$50,0))</f>
        <v>-2.5062160062160075</v>
      </c>
      <c r="S256" s="4">
        <f>INDEX('Vessel Valuations'!I$34:I$50,MATCH($E256,'Vessel Valuations'!$C$34:$C$50,0))</f>
        <v>55.67832167832168</v>
      </c>
      <c r="U256" s="202">
        <v>28307</v>
      </c>
      <c r="V256" s="185">
        <f>((INDEX('FFA &amp; Spot Rates'!F$23:F$43,MATCH(Hafnia!$E256,'FFA &amp; Spot Rates'!$C$23:$C$43,0))+$H256)*(1-INDEX(V$149:V$152,MATCH(Hafnia!$E256,$D$149:$D$152,0)))+INDEX(V$149:V$152,MATCH(Hafnia!$E256,$D$149:$D$152,0))*INDEX(V$154:V$157,MATCH(Hafnia!$E256,$D$154:$D$157,0)))*$N256</f>
        <v>33506.556917808222</v>
      </c>
      <c r="W256" s="185">
        <f>((INDEX('FFA &amp; Spot Rates'!G$23:G$43,MATCH(Hafnia!$E256,'FFA &amp; Spot Rates'!$C$23:$C$43,0))+$H256)*(1-INDEX(W$149:W$152,MATCH(Hafnia!$E256,$D$149:$D$152,0)))+INDEX(W$149:W$152,MATCH(Hafnia!$E256,$D$149:$D$152,0))*INDEX(W$154:W$157,MATCH(Hafnia!$E256,$D$154:$D$157,0)))*$N256</f>
        <v>27871.445205479453</v>
      </c>
      <c r="X256" s="185">
        <f>((INDEX('FFA &amp; Spot Rates'!H$23:H$43,MATCH(Hafnia!$E256,'FFA &amp; Spot Rates'!$C$23:$C$43,0))+$H256)*(1-INDEX(X$149:X$152,MATCH(Hafnia!$E256,$D$149:$D$152,0)))+INDEX(X$149:X$152,MATCH(Hafnia!$E256,$D$149:$D$152,0))*INDEX(X$154:X$157,MATCH(Hafnia!$E256,$D$154:$D$157,0)))*$N256</f>
        <v>39053.445205479453</v>
      </c>
      <c r="Y256" s="185">
        <f t="shared" si="45"/>
        <v>32184.611832191782</v>
      </c>
      <c r="Z256" s="185"/>
      <c r="AA256" s="185"/>
      <c r="AB256" s="185"/>
      <c r="AC256" s="185"/>
      <c r="AD256" s="185"/>
      <c r="AI256" s="21"/>
      <c r="AJ256" s="21"/>
    </row>
    <row r="257" spans="3:36" s="20" customFormat="1" outlineLevel="1" x14ac:dyDescent="0.2">
      <c r="C257" s="157" t="s">
        <v>970</v>
      </c>
      <c r="D257" s="157" t="s">
        <v>964</v>
      </c>
      <c r="E257" s="157" t="s">
        <v>15</v>
      </c>
      <c r="F257" s="158" t="s">
        <v>321</v>
      </c>
      <c r="G257" s="118">
        <v>1</v>
      </c>
      <c r="H257" s="152">
        <f>INDEX(Premiums!$G$27:$G$30,MATCH(Hafnia!E257,Premiums!$E$27:$E$30,0))*G257</f>
        <v>1313.4452054794519</v>
      </c>
      <c r="I257" s="186">
        <v>39067</v>
      </c>
      <c r="J257" s="159">
        <v>2015</v>
      </c>
      <c r="K257" s="63">
        <v>2024</v>
      </c>
      <c r="L257" s="56">
        <f t="shared" si="46"/>
        <v>9</v>
      </c>
      <c r="M257" s="1">
        <f t="shared" si="44"/>
        <v>35.355636363636357</v>
      </c>
      <c r="N257" s="184">
        <v>1</v>
      </c>
      <c r="P257" s="4">
        <f>INDEX('Vessel Valuations'!F$34:F$50,MATCH($E257,'Vessel Valuations'!$C$34:$C$50,0))</f>
        <v>7.8477078477077959E-5</v>
      </c>
      <c r="Q257" s="4">
        <f>INDEX('Vessel Valuations'!G$34:G$50,MATCH($E257,'Vessel Valuations'!$C$34:$C$50,0))</f>
        <v>2.6864801864801918E-2</v>
      </c>
      <c r="R257" s="4">
        <f>INDEX('Vessel Valuations'!H$34:H$50,MATCH($E257,'Vessel Valuations'!$C$34:$C$50,0))</f>
        <v>-2.5062160062160075</v>
      </c>
      <c r="S257" s="4">
        <f>INDEX('Vessel Valuations'!I$34:I$50,MATCH($E257,'Vessel Valuations'!$C$34:$C$50,0))</f>
        <v>55.67832167832168</v>
      </c>
      <c r="U257" s="202">
        <v>28307</v>
      </c>
      <c r="V257" s="185">
        <f>((INDEX('FFA &amp; Spot Rates'!F$23:F$43,MATCH(Hafnia!$E257,'FFA &amp; Spot Rates'!$C$23:$C$43,0))+$H257)*(1-INDEX(V$149:V$152,MATCH(Hafnia!$E257,$D$149:$D$152,0)))+INDEX(V$149:V$152,MATCH(Hafnia!$E257,$D$149:$D$152,0))*INDEX(V$154:V$157,MATCH(Hafnia!$E257,$D$154:$D$157,0)))*$N257</f>
        <v>33506.556917808222</v>
      </c>
      <c r="W257" s="185">
        <f>((INDEX('FFA &amp; Spot Rates'!G$23:G$43,MATCH(Hafnia!$E257,'FFA &amp; Spot Rates'!$C$23:$C$43,0))+$H257)*(1-INDEX(W$149:W$152,MATCH(Hafnia!$E257,$D$149:$D$152,0)))+INDEX(W$149:W$152,MATCH(Hafnia!$E257,$D$149:$D$152,0))*INDEX(W$154:W$157,MATCH(Hafnia!$E257,$D$154:$D$157,0)))*$N257</f>
        <v>27871.445205479453</v>
      </c>
      <c r="X257" s="185">
        <f>((INDEX('FFA &amp; Spot Rates'!H$23:H$43,MATCH(Hafnia!$E257,'FFA &amp; Spot Rates'!$C$23:$C$43,0))+$H257)*(1-INDEX(X$149:X$152,MATCH(Hafnia!$E257,$D$149:$D$152,0)))+INDEX(X$149:X$152,MATCH(Hafnia!$E257,$D$149:$D$152,0))*INDEX(X$154:X$157,MATCH(Hafnia!$E257,$D$154:$D$157,0)))*$N257</f>
        <v>39053.445205479453</v>
      </c>
      <c r="Y257" s="185">
        <f t="shared" si="45"/>
        <v>32184.611832191782</v>
      </c>
      <c r="Z257" s="185"/>
      <c r="AA257" s="185"/>
      <c r="AB257" s="185"/>
      <c r="AC257" s="185"/>
      <c r="AD257" s="185"/>
      <c r="AI257" s="21"/>
      <c r="AJ257" s="21"/>
    </row>
    <row r="258" spans="3:36" s="20" customFormat="1" outlineLevel="1" x14ac:dyDescent="0.2">
      <c r="C258" s="157" t="s">
        <v>971</v>
      </c>
      <c r="D258" s="157" t="s">
        <v>964</v>
      </c>
      <c r="E258" s="157" t="s">
        <v>15</v>
      </c>
      <c r="F258" s="158" t="s">
        <v>321</v>
      </c>
      <c r="G258" s="118">
        <v>1</v>
      </c>
      <c r="H258" s="152">
        <f>INDEX(Premiums!$G$27:$G$30,MATCH(Hafnia!E258,Premiums!$E$27:$E$30,0))*G258</f>
        <v>1313.4452054794519</v>
      </c>
      <c r="I258" s="186">
        <v>38506</v>
      </c>
      <c r="J258" s="159">
        <v>2015</v>
      </c>
      <c r="K258" s="63">
        <v>2024</v>
      </c>
      <c r="L258" s="56">
        <f t="shared" si="46"/>
        <v>9</v>
      </c>
      <c r="M258" s="1">
        <f t="shared" si="44"/>
        <v>35.355636363636357</v>
      </c>
      <c r="N258" s="184">
        <v>1</v>
      </c>
      <c r="P258" s="4">
        <f>INDEX('Vessel Valuations'!F$34:F$50,MATCH($E258,'Vessel Valuations'!$C$34:$C$50,0))</f>
        <v>7.8477078477077959E-5</v>
      </c>
      <c r="Q258" s="4">
        <f>INDEX('Vessel Valuations'!G$34:G$50,MATCH($E258,'Vessel Valuations'!$C$34:$C$50,0))</f>
        <v>2.6864801864801918E-2</v>
      </c>
      <c r="R258" s="4">
        <f>INDEX('Vessel Valuations'!H$34:H$50,MATCH($E258,'Vessel Valuations'!$C$34:$C$50,0))</f>
        <v>-2.5062160062160075</v>
      </c>
      <c r="S258" s="4">
        <f>INDEX('Vessel Valuations'!I$34:I$50,MATCH($E258,'Vessel Valuations'!$C$34:$C$50,0))</f>
        <v>55.67832167832168</v>
      </c>
      <c r="U258" s="202">
        <v>28307</v>
      </c>
      <c r="V258" s="185">
        <f>((INDEX('FFA &amp; Spot Rates'!F$23:F$43,MATCH(Hafnia!$E258,'FFA &amp; Spot Rates'!$C$23:$C$43,0))+$H258)*(1-INDEX(V$149:V$152,MATCH(Hafnia!$E258,$D$149:$D$152,0)))+INDEX(V$149:V$152,MATCH(Hafnia!$E258,$D$149:$D$152,0))*INDEX(V$154:V$157,MATCH(Hafnia!$E258,$D$154:$D$157,0)))*$N258</f>
        <v>33506.556917808222</v>
      </c>
      <c r="W258" s="185">
        <f>((INDEX('FFA &amp; Spot Rates'!G$23:G$43,MATCH(Hafnia!$E258,'FFA &amp; Spot Rates'!$C$23:$C$43,0))+$H258)*(1-INDEX(W$149:W$152,MATCH(Hafnia!$E258,$D$149:$D$152,0)))+INDEX(W$149:W$152,MATCH(Hafnia!$E258,$D$149:$D$152,0))*INDEX(W$154:W$157,MATCH(Hafnia!$E258,$D$154:$D$157,0)))*$N258</f>
        <v>27871.445205479453</v>
      </c>
      <c r="X258" s="185">
        <f>((INDEX('FFA &amp; Spot Rates'!H$23:H$43,MATCH(Hafnia!$E258,'FFA &amp; Spot Rates'!$C$23:$C$43,0))+$H258)*(1-INDEX(X$149:X$152,MATCH(Hafnia!$E258,$D$149:$D$152,0)))+INDEX(X$149:X$152,MATCH(Hafnia!$E258,$D$149:$D$152,0))*INDEX(X$154:X$157,MATCH(Hafnia!$E258,$D$154:$D$157,0)))*$N258</f>
        <v>39053.445205479453</v>
      </c>
      <c r="Y258" s="185">
        <f t="shared" si="45"/>
        <v>32184.611832191782</v>
      </c>
      <c r="Z258" s="185"/>
      <c r="AA258" s="185"/>
      <c r="AB258" s="185"/>
      <c r="AC258" s="185"/>
      <c r="AD258" s="185"/>
      <c r="AI258" s="21"/>
      <c r="AJ258" s="21"/>
    </row>
    <row r="259" spans="3:36" s="20" customFormat="1" outlineLevel="1" x14ac:dyDescent="0.2">
      <c r="C259" s="157" t="s">
        <v>972</v>
      </c>
      <c r="D259" s="157" t="s">
        <v>964</v>
      </c>
      <c r="E259" s="157" t="s">
        <v>15</v>
      </c>
      <c r="F259" s="158" t="s">
        <v>321</v>
      </c>
      <c r="G259" s="118">
        <v>1</v>
      </c>
      <c r="H259" s="152">
        <f>INDEX(Premiums!$G$27:$G$30,MATCH(Hafnia!E259,Premiums!$E$27:$E$30,0))*G259</f>
        <v>1313.4452054794519</v>
      </c>
      <c r="I259" s="186">
        <v>38506</v>
      </c>
      <c r="J259" s="159">
        <v>2015</v>
      </c>
      <c r="K259" s="63">
        <v>2024</v>
      </c>
      <c r="L259" s="56">
        <f t="shared" si="46"/>
        <v>9</v>
      </c>
      <c r="M259" s="1">
        <f t="shared" si="44"/>
        <v>35.355636363636357</v>
      </c>
      <c r="N259" s="184">
        <v>1</v>
      </c>
      <c r="P259" s="4">
        <f>INDEX('Vessel Valuations'!F$34:F$50,MATCH($E259,'Vessel Valuations'!$C$34:$C$50,0))</f>
        <v>7.8477078477077959E-5</v>
      </c>
      <c r="Q259" s="4">
        <f>INDEX('Vessel Valuations'!G$34:G$50,MATCH($E259,'Vessel Valuations'!$C$34:$C$50,0))</f>
        <v>2.6864801864801918E-2</v>
      </c>
      <c r="R259" s="4">
        <f>INDEX('Vessel Valuations'!H$34:H$50,MATCH($E259,'Vessel Valuations'!$C$34:$C$50,0))</f>
        <v>-2.5062160062160075</v>
      </c>
      <c r="S259" s="4">
        <f>INDEX('Vessel Valuations'!I$34:I$50,MATCH($E259,'Vessel Valuations'!$C$34:$C$50,0))</f>
        <v>55.67832167832168</v>
      </c>
      <c r="U259" s="202">
        <v>28307</v>
      </c>
      <c r="V259" s="185">
        <f>((INDEX('FFA &amp; Spot Rates'!F$23:F$43,MATCH(Hafnia!$E259,'FFA &amp; Spot Rates'!$C$23:$C$43,0))+$H259)*(1-INDEX(V$149:V$152,MATCH(Hafnia!$E259,$D$149:$D$152,0)))+INDEX(V$149:V$152,MATCH(Hafnia!$E259,$D$149:$D$152,0))*INDEX(V$154:V$157,MATCH(Hafnia!$E259,$D$154:$D$157,0)))*$N259</f>
        <v>33506.556917808222</v>
      </c>
      <c r="W259" s="185">
        <f>((INDEX('FFA &amp; Spot Rates'!G$23:G$43,MATCH(Hafnia!$E259,'FFA &amp; Spot Rates'!$C$23:$C$43,0))+$H259)*(1-INDEX(W$149:W$152,MATCH(Hafnia!$E259,$D$149:$D$152,0)))+INDEX(W$149:W$152,MATCH(Hafnia!$E259,$D$149:$D$152,0))*INDEX(W$154:W$157,MATCH(Hafnia!$E259,$D$154:$D$157,0)))*$N259</f>
        <v>27871.445205479453</v>
      </c>
      <c r="X259" s="185">
        <f>((INDEX('FFA &amp; Spot Rates'!H$23:H$43,MATCH(Hafnia!$E259,'FFA &amp; Spot Rates'!$C$23:$C$43,0))+$H259)*(1-INDEX(X$149:X$152,MATCH(Hafnia!$E259,$D$149:$D$152,0)))+INDEX(X$149:X$152,MATCH(Hafnia!$E259,$D$149:$D$152,0))*INDEX(X$154:X$157,MATCH(Hafnia!$E259,$D$154:$D$157,0)))*$N259</f>
        <v>39053.445205479453</v>
      </c>
      <c r="Y259" s="185">
        <f t="shared" si="45"/>
        <v>32184.611832191782</v>
      </c>
      <c r="Z259" s="185"/>
      <c r="AA259" s="185"/>
      <c r="AB259" s="185"/>
      <c r="AC259" s="185"/>
      <c r="AD259" s="185"/>
      <c r="AI259" s="21"/>
      <c r="AJ259" s="21"/>
    </row>
    <row r="260" spans="3:36" s="20" customFormat="1" outlineLevel="1" x14ac:dyDescent="0.2">
      <c r="C260" s="157" t="s">
        <v>973</v>
      </c>
      <c r="D260" s="157" t="s">
        <v>964</v>
      </c>
      <c r="E260" s="157" t="s">
        <v>15</v>
      </c>
      <c r="F260" s="158" t="s">
        <v>321</v>
      </c>
      <c r="G260" s="118">
        <v>1</v>
      </c>
      <c r="H260" s="152">
        <f>INDEX(Premiums!$G$27:$G$30,MATCH(Hafnia!E260,Premiums!$E$27:$E$30,0))*G260</f>
        <v>1313.4452054794519</v>
      </c>
      <c r="I260" s="186">
        <v>38506</v>
      </c>
      <c r="J260" s="159">
        <v>2015</v>
      </c>
      <c r="K260" s="63">
        <v>2024</v>
      </c>
      <c r="L260" s="56">
        <f t="shared" si="46"/>
        <v>9</v>
      </c>
      <c r="M260" s="1">
        <f t="shared" si="44"/>
        <v>35.355636363636357</v>
      </c>
      <c r="N260" s="184">
        <v>1</v>
      </c>
      <c r="P260" s="4">
        <f>INDEX('Vessel Valuations'!F$34:F$50,MATCH($E260,'Vessel Valuations'!$C$34:$C$50,0))</f>
        <v>7.8477078477077959E-5</v>
      </c>
      <c r="Q260" s="4">
        <f>INDEX('Vessel Valuations'!G$34:G$50,MATCH($E260,'Vessel Valuations'!$C$34:$C$50,0))</f>
        <v>2.6864801864801918E-2</v>
      </c>
      <c r="R260" s="4">
        <f>INDEX('Vessel Valuations'!H$34:H$50,MATCH($E260,'Vessel Valuations'!$C$34:$C$50,0))</f>
        <v>-2.5062160062160075</v>
      </c>
      <c r="S260" s="4">
        <f>INDEX('Vessel Valuations'!I$34:I$50,MATCH($E260,'Vessel Valuations'!$C$34:$C$50,0))</f>
        <v>55.67832167832168</v>
      </c>
      <c r="U260" s="202">
        <v>28307</v>
      </c>
      <c r="V260" s="185">
        <f>((INDEX('FFA &amp; Spot Rates'!F$23:F$43,MATCH(Hafnia!$E260,'FFA &amp; Spot Rates'!$C$23:$C$43,0))+$H260)*(1-INDEX(V$149:V$152,MATCH(Hafnia!$E260,$D$149:$D$152,0)))+INDEX(V$149:V$152,MATCH(Hafnia!$E260,$D$149:$D$152,0))*INDEX(V$154:V$157,MATCH(Hafnia!$E260,$D$154:$D$157,0)))*$N260</f>
        <v>33506.556917808222</v>
      </c>
      <c r="W260" s="185">
        <f>((INDEX('FFA &amp; Spot Rates'!G$23:G$43,MATCH(Hafnia!$E260,'FFA &amp; Spot Rates'!$C$23:$C$43,0))+$H260)*(1-INDEX(W$149:W$152,MATCH(Hafnia!$E260,$D$149:$D$152,0)))+INDEX(W$149:W$152,MATCH(Hafnia!$E260,$D$149:$D$152,0))*INDEX(W$154:W$157,MATCH(Hafnia!$E260,$D$154:$D$157,0)))*$N260</f>
        <v>27871.445205479453</v>
      </c>
      <c r="X260" s="185">
        <f>((INDEX('FFA &amp; Spot Rates'!H$23:H$43,MATCH(Hafnia!$E260,'FFA &amp; Spot Rates'!$C$23:$C$43,0))+$H260)*(1-INDEX(X$149:X$152,MATCH(Hafnia!$E260,$D$149:$D$152,0)))+INDEX(X$149:X$152,MATCH(Hafnia!$E260,$D$149:$D$152,0))*INDEX(X$154:X$157,MATCH(Hafnia!$E260,$D$154:$D$157,0)))*$N260</f>
        <v>39053.445205479453</v>
      </c>
      <c r="Y260" s="185">
        <f t="shared" si="45"/>
        <v>32184.611832191782</v>
      </c>
      <c r="Z260" s="185"/>
      <c r="AA260" s="185"/>
      <c r="AB260" s="185"/>
      <c r="AC260" s="185"/>
      <c r="AD260" s="185"/>
      <c r="AI260" s="21"/>
      <c r="AJ260" s="21"/>
    </row>
    <row r="261" spans="3:36" s="20" customFormat="1" outlineLevel="1" x14ac:dyDescent="0.2">
      <c r="C261" s="157" t="s">
        <v>974</v>
      </c>
      <c r="D261" s="157" t="s">
        <v>964</v>
      </c>
      <c r="E261" s="157" t="s">
        <v>15</v>
      </c>
      <c r="F261" s="158" t="s">
        <v>321</v>
      </c>
      <c r="G261" s="118">
        <v>1</v>
      </c>
      <c r="H261" s="152">
        <f>INDEX(Premiums!$G$27:$G$30,MATCH(Hafnia!E261,Premiums!$E$27:$E$30,0))*G261</f>
        <v>1313.4452054794519</v>
      </c>
      <c r="I261" s="186">
        <v>38506</v>
      </c>
      <c r="J261" s="159">
        <v>2016</v>
      </c>
      <c r="K261" s="63">
        <v>2024</v>
      </c>
      <c r="L261" s="56">
        <f t="shared" si="46"/>
        <v>8</v>
      </c>
      <c r="M261" s="1">
        <f t="shared" si="44"/>
        <v>37.388121212121206</v>
      </c>
      <c r="N261" s="184">
        <v>1</v>
      </c>
      <c r="P261" s="4">
        <f>INDEX('Vessel Valuations'!F$34:F$50,MATCH($E261,'Vessel Valuations'!$C$34:$C$50,0))</f>
        <v>7.8477078477077959E-5</v>
      </c>
      <c r="Q261" s="4">
        <f>INDEX('Vessel Valuations'!G$34:G$50,MATCH($E261,'Vessel Valuations'!$C$34:$C$50,0))</f>
        <v>2.6864801864801918E-2</v>
      </c>
      <c r="R261" s="4">
        <f>INDEX('Vessel Valuations'!H$34:H$50,MATCH($E261,'Vessel Valuations'!$C$34:$C$50,0))</f>
        <v>-2.5062160062160075</v>
      </c>
      <c r="S261" s="4">
        <f>INDEX('Vessel Valuations'!I$34:I$50,MATCH($E261,'Vessel Valuations'!$C$34:$C$50,0))</f>
        <v>55.67832167832168</v>
      </c>
      <c r="U261" s="202">
        <v>28307</v>
      </c>
      <c r="V261" s="185">
        <f>((INDEX('FFA &amp; Spot Rates'!F$23:F$43,MATCH(Hafnia!$E261,'FFA &amp; Spot Rates'!$C$23:$C$43,0))+$H261)*(1-INDEX(V$149:V$152,MATCH(Hafnia!$E261,$D$149:$D$152,0)))+INDEX(V$149:V$152,MATCH(Hafnia!$E261,$D$149:$D$152,0))*INDEX(V$154:V$157,MATCH(Hafnia!$E261,$D$154:$D$157,0)))*$N261</f>
        <v>33506.556917808222</v>
      </c>
      <c r="W261" s="185">
        <f>((INDEX('FFA &amp; Spot Rates'!G$23:G$43,MATCH(Hafnia!$E261,'FFA &amp; Spot Rates'!$C$23:$C$43,0))+$H261)*(1-INDEX(W$149:W$152,MATCH(Hafnia!$E261,$D$149:$D$152,0)))+INDEX(W$149:W$152,MATCH(Hafnia!$E261,$D$149:$D$152,0))*INDEX(W$154:W$157,MATCH(Hafnia!$E261,$D$154:$D$157,0)))*$N261</f>
        <v>27871.445205479453</v>
      </c>
      <c r="X261" s="185">
        <f>((INDEX('FFA &amp; Spot Rates'!H$23:H$43,MATCH(Hafnia!$E261,'FFA &amp; Spot Rates'!$C$23:$C$43,0))+$H261)*(1-INDEX(X$149:X$152,MATCH(Hafnia!$E261,$D$149:$D$152,0)))+INDEX(X$149:X$152,MATCH(Hafnia!$E261,$D$149:$D$152,0))*INDEX(X$154:X$157,MATCH(Hafnia!$E261,$D$154:$D$157,0)))*$N261</f>
        <v>39053.445205479453</v>
      </c>
      <c r="Y261" s="185">
        <f t="shared" si="45"/>
        <v>32184.611832191782</v>
      </c>
      <c r="Z261" s="185"/>
      <c r="AA261" s="185"/>
      <c r="AB261" s="185"/>
      <c r="AC261" s="185"/>
      <c r="AD261" s="185"/>
      <c r="AI261" s="21"/>
      <c r="AJ261" s="21"/>
    </row>
    <row r="262" spans="3:36" s="20" customFormat="1" outlineLevel="1" x14ac:dyDescent="0.2">
      <c r="C262" s="157" t="s">
        <v>975</v>
      </c>
      <c r="D262" s="157" t="s">
        <v>964</v>
      </c>
      <c r="E262" s="157" t="s">
        <v>15</v>
      </c>
      <c r="F262" s="158" t="s">
        <v>321</v>
      </c>
      <c r="G262" s="118">
        <v>1</v>
      </c>
      <c r="H262" s="152">
        <f>INDEX(Premiums!$G$27:$G$30,MATCH(Hafnia!E262,Premiums!$E$27:$E$30,0))*G262</f>
        <v>1313.4452054794519</v>
      </c>
      <c r="I262" s="186">
        <v>38506</v>
      </c>
      <c r="J262" s="159">
        <v>2015</v>
      </c>
      <c r="K262" s="63">
        <v>2024</v>
      </c>
      <c r="L262" s="56">
        <f t="shared" si="46"/>
        <v>9</v>
      </c>
      <c r="M262" s="1">
        <f t="shared" si="44"/>
        <v>35.355636363636357</v>
      </c>
      <c r="N262" s="184">
        <v>1</v>
      </c>
      <c r="P262" s="4">
        <f>INDEX('Vessel Valuations'!F$34:F$50,MATCH($E262,'Vessel Valuations'!$C$34:$C$50,0))</f>
        <v>7.8477078477077959E-5</v>
      </c>
      <c r="Q262" s="4">
        <f>INDEX('Vessel Valuations'!G$34:G$50,MATCH($E262,'Vessel Valuations'!$C$34:$C$50,0))</f>
        <v>2.6864801864801918E-2</v>
      </c>
      <c r="R262" s="4">
        <f>INDEX('Vessel Valuations'!H$34:H$50,MATCH($E262,'Vessel Valuations'!$C$34:$C$50,0))</f>
        <v>-2.5062160062160075</v>
      </c>
      <c r="S262" s="4">
        <f>INDEX('Vessel Valuations'!I$34:I$50,MATCH($E262,'Vessel Valuations'!$C$34:$C$50,0))</f>
        <v>55.67832167832168</v>
      </c>
      <c r="U262" s="202">
        <v>28307</v>
      </c>
      <c r="V262" s="185">
        <f>((INDEX('FFA &amp; Spot Rates'!F$23:F$43,MATCH(Hafnia!$E262,'FFA &amp; Spot Rates'!$C$23:$C$43,0))+$H262)*(1-INDEX(V$149:V$152,MATCH(Hafnia!$E262,$D$149:$D$152,0)))+INDEX(V$149:V$152,MATCH(Hafnia!$E262,$D$149:$D$152,0))*INDEX(V$154:V$157,MATCH(Hafnia!$E262,$D$154:$D$157,0)))*$N262</f>
        <v>33506.556917808222</v>
      </c>
      <c r="W262" s="185">
        <f>((INDEX('FFA &amp; Spot Rates'!G$23:G$43,MATCH(Hafnia!$E262,'FFA &amp; Spot Rates'!$C$23:$C$43,0))+$H262)*(1-INDEX(W$149:W$152,MATCH(Hafnia!$E262,$D$149:$D$152,0)))+INDEX(W$149:W$152,MATCH(Hafnia!$E262,$D$149:$D$152,0))*INDEX(W$154:W$157,MATCH(Hafnia!$E262,$D$154:$D$157,0)))*$N262</f>
        <v>27871.445205479453</v>
      </c>
      <c r="X262" s="185">
        <f>((INDEX('FFA &amp; Spot Rates'!H$23:H$43,MATCH(Hafnia!$E262,'FFA &amp; Spot Rates'!$C$23:$C$43,0))+$H262)*(1-INDEX(X$149:X$152,MATCH(Hafnia!$E262,$D$149:$D$152,0)))+INDEX(X$149:X$152,MATCH(Hafnia!$E262,$D$149:$D$152,0))*INDEX(X$154:X$157,MATCH(Hafnia!$E262,$D$154:$D$157,0)))*$N262</f>
        <v>39053.445205479453</v>
      </c>
      <c r="Y262" s="185">
        <f t="shared" si="45"/>
        <v>32184.611832191782</v>
      </c>
      <c r="Z262" s="185"/>
      <c r="AA262" s="185"/>
      <c r="AB262" s="185"/>
      <c r="AC262" s="185"/>
      <c r="AD262" s="185"/>
      <c r="AI262" s="21"/>
      <c r="AJ262" s="21"/>
    </row>
    <row r="263" spans="3:36" s="20" customFormat="1" outlineLevel="1" x14ac:dyDescent="0.2">
      <c r="C263" s="157" t="s">
        <v>976</v>
      </c>
      <c r="D263" s="157" t="s">
        <v>964</v>
      </c>
      <c r="E263" s="157" t="s">
        <v>15</v>
      </c>
      <c r="F263" s="158" t="s">
        <v>321</v>
      </c>
      <c r="G263" s="118">
        <v>1</v>
      </c>
      <c r="H263" s="152">
        <f>INDEX(Premiums!$G$27:$G$30,MATCH(Hafnia!E263,Premiums!$E$27:$E$30,0))*G263</f>
        <v>1313.4452054794519</v>
      </c>
      <c r="I263" s="186">
        <v>38506</v>
      </c>
      <c r="J263" s="159">
        <v>2015</v>
      </c>
      <c r="K263" s="63">
        <v>2024</v>
      </c>
      <c r="L263" s="56">
        <f t="shared" si="46"/>
        <v>9</v>
      </c>
      <c r="M263" s="1">
        <f t="shared" si="44"/>
        <v>35.355636363636357</v>
      </c>
      <c r="N263" s="184">
        <v>1</v>
      </c>
      <c r="P263" s="4">
        <f>INDEX('Vessel Valuations'!F$34:F$50,MATCH($E263,'Vessel Valuations'!$C$34:$C$50,0))</f>
        <v>7.8477078477077959E-5</v>
      </c>
      <c r="Q263" s="4">
        <f>INDEX('Vessel Valuations'!G$34:G$50,MATCH($E263,'Vessel Valuations'!$C$34:$C$50,0))</f>
        <v>2.6864801864801918E-2</v>
      </c>
      <c r="R263" s="4">
        <f>INDEX('Vessel Valuations'!H$34:H$50,MATCH($E263,'Vessel Valuations'!$C$34:$C$50,0))</f>
        <v>-2.5062160062160075</v>
      </c>
      <c r="S263" s="4">
        <f>INDEX('Vessel Valuations'!I$34:I$50,MATCH($E263,'Vessel Valuations'!$C$34:$C$50,0))</f>
        <v>55.67832167832168</v>
      </c>
      <c r="U263" s="202">
        <v>28307</v>
      </c>
      <c r="V263" s="185">
        <f>((INDEX('FFA &amp; Spot Rates'!F$23:F$43,MATCH(Hafnia!$E263,'FFA &amp; Spot Rates'!$C$23:$C$43,0))+$H263)*(1-INDEX(V$149:V$152,MATCH(Hafnia!$E263,$D$149:$D$152,0)))+INDEX(V$149:V$152,MATCH(Hafnia!$E263,$D$149:$D$152,0))*INDEX(V$154:V$157,MATCH(Hafnia!$E263,$D$154:$D$157,0)))*$N263</f>
        <v>33506.556917808222</v>
      </c>
      <c r="W263" s="185">
        <f>((INDEX('FFA &amp; Spot Rates'!G$23:G$43,MATCH(Hafnia!$E263,'FFA &amp; Spot Rates'!$C$23:$C$43,0))+$H263)*(1-INDEX(W$149:W$152,MATCH(Hafnia!$E263,$D$149:$D$152,0)))+INDEX(W$149:W$152,MATCH(Hafnia!$E263,$D$149:$D$152,0))*INDEX(W$154:W$157,MATCH(Hafnia!$E263,$D$154:$D$157,0)))*$N263</f>
        <v>27871.445205479453</v>
      </c>
      <c r="X263" s="185">
        <f>((INDEX('FFA &amp; Spot Rates'!H$23:H$43,MATCH(Hafnia!$E263,'FFA &amp; Spot Rates'!$C$23:$C$43,0))+$H263)*(1-INDEX(X$149:X$152,MATCH(Hafnia!$E263,$D$149:$D$152,0)))+INDEX(X$149:X$152,MATCH(Hafnia!$E263,$D$149:$D$152,0))*INDEX(X$154:X$157,MATCH(Hafnia!$E263,$D$154:$D$157,0)))*$N263</f>
        <v>39053.445205479453</v>
      </c>
      <c r="Y263" s="185">
        <f t="shared" si="45"/>
        <v>32184.611832191782</v>
      </c>
      <c r="Z263" s="185"/>
      <c r="AA263" s="185"/>
      <c r="AB263" s="185"/>
      <c r="AC263" s="185"/>
      <c r="AD263" s="185"/>
      <c r="AI263" s="21"/>
      <c r="AJ263" s="21"/>
    </row>
    <row r="264" spans="3:36" s="20" customFormat="1" outlineLevel="1" x14ac:dyDescent="0.2">
      <c r="C264" s="157" t="s">
        <v>977</v>
      </c>
      <c r="D264" s="157" t="s">
        <v>964</v>
      </c>
      <c r="E264" s="157" t="s">
        <v>15</v>
      </c>
      <c r="F264" s="158" t="s">
        <v>321</v>
      </c>
      <c r="G264" s="118">
        <v>1</v>
      </c>
      <c r="H264" s="152">
        <f>INDEX(Premiums!$G$27:$G$30,MATCH(Hafnia!E264,Premiums!$E$27:$E$30,0))*G264</f>
        <v>1313.4452054794519</v>
      </c>
      <c r="I264" s="186">
        <v>38506</v>
      </c>
      <c r="J264" s="159">
        <v>2015</v>
      </c>
      <c r="K264" s="63">
        <v>2024</v>
      </c>
      <c r="L264" s="56">
        <f t="shared" si="46"/>
        <v>9</v>
      </c>
      <c r="M264" s="1">
        <f t="shared" si="44"/>
        <v>35.355636363636357</v>
      </c>
      <c r="N264" s="184">
        <v>1</v>
      </c>
      <c r="P264" s="4">
        <f>INDEX('Vessel Valuations'!F$34:F$50,MATCH($E264,'Vessel Valuations'!$C$34:$C$50,0))</f>
        <v>7.8477078477077959E-5</v>
      </c>
      <c r="Q264" s="4">
        <f>INDEX('Vessel Valuations'!G$34:G$50,MATCH($E264,'Vessel Valuations'!$C$34:$C$50,0))</f>
        <v>2.6864801864801918E-2</v>
      </c>
      <c r="R264" s="4">
        <f>INDEX('Vessel Valuations'!H$34:H$50,MATCH($E264,'Vessel Valuations'!$C$34:$C$50,0))</f>
        <v>-2.5062160062160075</v>
      </c>
      <c r="S264" s="4">
        <f>INDEX('Vessel Valuations'!I$34:I$50,MATCH($E264,'Vessel Valuations'!$C$34:$C$50,0))</f>
        <v>55.67832167832168</v>
      </c>
      <c r="U264" s="202">
        <v>28307</v>
      </c>
      <c r="V264" s="185">
        <f>((INDEX('FFA &amp; Spot Rates'!F$23:F$43,MATCH(Hafnia!$E264,'FFA &amp; Spot Rates'!$C$23:$C$43,0))+$H264)*(1-INDEX(V$149:V$152,MATCH(Hafnia!$E264,$D$149:$D$152,0)))+INDEX(V$149:V$152,MATCH(Hafnia!$E264,$D$149:$D$152,0))*INDEX(V$154:V$157,MATCH(Hafnia!$E264,$D$154:$D$157,0)))*$N264</f>
        <v>33506.556917808222</v>
      </c>
      <c r="W264" s="185">
        <f>((INDEX('FFA &amp; Spot Rates'!G$23:G$43,MATCH(Hafnia!$E264,'FFA &amp; Spot Rates'!$C$23:$C$43,0))+$H264)*(1-INDEX(W$149:W$152,MATCH(Hafnia!$E264,$D$149:$D$152,0)))+INDEX(W$149:W$152,MATCH(Hafnia!$E264,$D$149:$D$152,0))*INDEX(W$154:W$157,MATCH(Hafnia!$E264,$D$154:$D$157,0)))*$N264</f>
        <v>27871.445205479453</v>
      </c>
      <c r="X264" s="185">
        <f>((INDEX('FFA &amp; Spot Rates'!H$23:H$43,MATCH(Hafnia!$E264,'FFA &amp; Spot Rates'!$C$23:$C$43,0))+$H264)*(1-INDEX(X$149:X$152,MATCH(Hafnia!$E264,$D$149:$D$152,0)))+INDEX(X$149:X$152,MATCH(Hafnia!$E264,$D$149:$D$152,0))*INDEX(X$154:X$157,MATCH(Hafnia!$E264,$D$154:$D$157,0)))*$N264</f>
        <v>39053.445205479453</v>
      </c>
      <c r="Y264" s="185">
        <f t="shared" si="45"/>
        <v>32184.611832191782</v>
      </c>
      <c r="Z264" s="185"/>
      <c r="AA264" s="185"/>
      <c r="AB264" s="185"/>
      <c r="AC264" s="185"/>
      <c r="AD264" s="185"/>
      <c r="AI264" s="21"/>
      <c r="AJ264" s="21"/>
    </row>
    <row r="265" spans="3:36" s="20" customFormat="1" outlineLevel="1" x14ac:dyDescent="0.2">
      <c r="C265" s="157" t="s">
        <v>978</v>
      </c>
      <c r="D265" s="157" t="s">
        <v>964</v>
      </c>
      <c r="E265" s="157" t="s">
        <v>15</v>
      </c>
      <c r="F265" s="158" t="s">
        <v>321</v>
      </c>
      <c r="G265" s="118">
        <v>1</v>
      </c>
      <c r="H265" s="152">
        <f>INDEX(Premiums!$G$27:$G$30,MATCH(Hafnia!E265,Premiums!$E$27:$E$30,0))*G265</f>
        <v>1313.4452054794519</v>
      </c>
      <c r="I265" s="186">
        <v>38506</v>
      </c>
      <c r="J265" s="159">
        <v>2015</v>
      </c>
      <c r="K265" s="63">
        <v>2024</v>
      </c>
      <c r="L265" s="56">
        <f t="shared" si="46"/>
        <v>9</v>
      </c>
      <c r="M265" s="1">
        <f t="shared" si="44"/>
        <v>35.355636363636357</v>
      </c>
      <c r="N265" s="184">
        <v>1</v>
      </c>
      <c r="P265" s="4">
        <f>INDEX('Vessel Valuations'!F$34:F$50,MATCH($E265,'Vessel Valuations'!$C$34:$C$50,0))</f>
        <v>7.8477078477077959E-5</v>
      </c>
      <c r="Q265" s="4">
        <f>INDEX('Vessel Valuations'!G$34:G$50,MATCH($E265,'Vessel Valuations'!$C$34:$C$50,0))</f>
        <v>2.6864801864801918E-2</v>
      </c>
      <c r="R265" s="4">
        <f>INDEX('Vessel Valuations'!H$34:H$50,MATCH($E265,'Vessel Valuations'!$C$34:$C$50,0))</f>
        <v>-2.5062160062160075</v>
      </c>
      <c r="S265" s="4">
        <f>INDEX('Vessel Valuations'!I$34:I$50,MATCH($E265,'Vessel Valuations'!$C$34:$C$50,0))</f>
        <v>55.67832167832168</v>
      </c>
      <c r="U265" s="202">
        <v>28307</v>
      </c>
      <c r="V265" s="185">
        <f>((INDEX('FFA &amp; Spot Rates'!F$23:F$43,MATCH(Hafnia!$E265,'FFA &amp; Spot Rates'!$C$23:$C$43,0))+$H265)*(1-INDEX(V$149:V$152,MATCH(Hafnia!$E265,$D$149:$D$152,0)))+INDEX(V$149:V$152,MATCH(Hafnia!$E265,$D$149:$D$152,0))*INDEX(V$154:V$157,MATCH(Hafnia!$E265,$D$154:$D$157,0)))*$N265</f>
        <v>33506.556917808222</v>
      </c>
      <c r="W265" s="185">
        <f>((INDEX('FFA &amp; Spot Rates'!G$23:G$43,MATCH(Hafnia!$E265,'FFA &amp; Spot Rates'!$C$23:$C$43,0))+$H265)*(1-INDEX(W$149:W$152,MATCH(Hafnia!$E265,$D$149:$D$152,0)))+INDEX(W$149:W$152,MATCH(Hafnia!$E265,$D$149:$D$152,0))*INDEX(W$154:W$157,MATCH(Hafnia!$E265,$D$154:$D$157,0)))*$N265</f>
        <v>27871.445205479453</v>
      </c>
      <c r="X265" s="185">
        <f>((INDEX('FFA &amp; Spot Rates'!H$23:H$43,MATCH(Hafnia!$E265,'FFA &amp; Spot Rates'!$C$23:$C$43,0))+$H265)*(1-INDEX(X$149:X$152,MATCH(Hafnia!$E265,$D$149:$D$152,0)))+INDEX(X$149:X$152,MATCH(Hafnia!$E265,$D$149:$D$152,0))*INDEX(X$154:X$157,MATCH(Hafnia!$E265,$D$154:$D$157,0)))*$N265</f>
        <v>39053.445205479453</v>
      </c>
      <c r="Y265" s="185">
        <f t="shared" si="45"/>
        <v>32184.611832191782</v>
      </c>
      <c r="Z265" s="185"/>
      <c r="AA265" s="185"/>
      <c r="AB265" s="185"/>
      <c r="AC265" s="185"/>
      <c r="AD265" s="185"/>
      <c r="AI265" s="21"/>
      <c r="AJ265" s="21"/>
    </row>
    <row r="266" spans="3:36" s="20" customFormat="1" outlineLevel="1" x14ac:dyDescent="0.2">
      <c r="C266" s="157" t="s">
        <v>979</v>
      </c>
      <c r="D266" s="157" t="s">
        <v>964</v>
      </c>
      <c r="E266" s="157" t="s">
        <v>15</v>
      </c>
      <c r="F266" s="158" t="s">
        <v>321</v>
      </c>
      <c r="G266" s="118">
        <v>1</v>
      </c>
      <c r="H266" s="152">
        <f>INDEX(Premiums!$G$27:$G$30,MATCH(Hafnia!E266,Premiums!$E$27:$E$30,0))*G266</f>
        <v>1313.4452054794519</v>
      </c>
      <c r="I266" s="186">
        <v>38506</v>
      </c>
      <c r="J266" s="159">
        <v>2015</v>
      </c>
      <c r="K266" s="63">
        <v>2024</v>
      </c>
      <c r="L266" s="56">
        <f t="shared" si="46"/>
        <v>9</v>
      </c>
      <c r="M266" s="1">
        <f t="shared" si="44"/>
        <v>35.355636363636357</v>
      </c>
      <c r="N266" s="184">
        <v>1</v>
      </c>
      <c r="P266" s="4">
        <f>INDEX('Vessel Valuations'!F$34:F$50,MATCH($E266,'Vessel Valuations'!$C$34:$C$50,0))</f>
        <v>7.8477078477077959E-5</v>
      </c>
      <c r="Q266" s="4">
        <f>INDEX('Vessel Valuations'!G$34:G$50,MATCH($E266,'Vessel Valuations'!$C$34:$C$50,0))</f>
        <v>2.6864801864801918E-2</v>
      </c>
      <c r="R266" s="4">
        <f>INDEX('Vessel Valuations'!H$34:H$50,MATCH($E266,'Vessel Valuations'!$C$34:$C$50,0))</f>
        <v>-2.5062160062160075</v>
      </c>
      <c r="S266" s="4">
        <f>INDEX('Vessel Valuations'!I$34:I$50,MATCH($E266,'Vessel Valuations'!$C$34:$C$50,0))</f>
        <v>55.67832167832168</v>
      </c>
      <c r="U266" s="202">
        <v>28307</v>
      </c>
      <c r="V266" s="185">
        <f>((INDEX('FFA &amp; Spot Rates'!F$23:F$43,MATCH(Hafnia!$E266,'FFA &amp; Spot Rates'!$C$23:$C$43,0))+$H266)*(1-INDEX(V$149:V$152,MATCH(Hafnia!$E266,$D$149:$D$152,0)))+INDEX(V$149:V$152,MATCH(Hafnia!$E266,$D$149:$D$152,0))*INDEX(V$154:V$157,MATCH(Hafnia!$E266,$D$154:$D$157,0)))*$N266</f>
        <v>33506.556917808222</v>
      </c>
      <c r="W266" s="185">
        <f>((INDEX('FFA &amp; Spot Rates'!G$23:G$43,MATCH(Hafnia!$E266,'FFA &amp; Spot Rates'!$C$23:$C$43,0))+$H266)*(1-INDEX(W$149:W$152,MATCH(Hafnia!$E266,$D$149:$D$152,0)))+INDEX(W$149:W$152,MATCH(Hafnia!$E266,$D$149:$D$152,0))*INDEX(W$154:W$157,MATCH(Hafnia!$E266,$D$154:$D$157,0)))*$N266</f>
        <v>27871.445205479453</v>
      </c>
      <c r="X266" s="185">
        <f>((INDEX('FFA &amp; Spot Rates'!H$23:H$43,MATCH(Hafnia!$E266,'FFA &amp; Spot Rates'!$C$23:$C$43,0))+$H266)*(1-INDEX(X$149:X$152,MATCH(Hafnia!$E266,$D$149:$D$152,0)))+INDEX(X$149:X$152,MATCH(Hafnia!$E266,$D$149:$D$152,0))*INDEX(X$154:X$157,MATCH(Hafnia!$E266,$D$154:$D$157,0)))*$N266</f>
        <v>39053.445205479453</v>
      </c>
      <c r="Y266" s="185">
        <f t="shared" si="45"/>
        <v>32184.611832191782</v>
      </c>
      <c r="Z266" s="185"/>
      <c r="AA266" s="185"/>
      <c r="AB266" s="185"/>
      <c r="AC266" s="185"/>
      <c r="AD266" s="185"/>
      <c r="AI266" s="21"/>
      <c r="AJ266" s="21"/>
    </row>
    <row r="267" spans="3:36" s="20" customFormat="1" outlineLevel="1" x14ac:dyDescent="0.2">
      <c r="C267" s="157" t="s">
        <v>980</v>
      </c>
      <c r="D267" s="157" t="s">
        <v>964</v>
      </c>
      <c r="E267" s="157" t="s">
        <v>15</v>
      </c>
      <c r="F267" s="158" t="s">
        <v>321</v>
      </c>
      <c r="G267" s="118">
        <v>1</v>
      </c>
      <c r="H267" s="152">
        <f>INDEX(Premiums!$G$27:$G$30,MATCH(Hafnia!E267,Premiums!$E$27:$E$30,0))*G267</f>
        <v>1313.4452054794519</v>
      </c>
      <c r="I267" s="186">
        <v>38506</v>
      </c>
      <c r="J267" s="159">
        <v>2015</v>
      </c>
      <c r="K267" s="63">
        <v>2024</v>
      </c>
      <c r="L267" s="56">
        <f t="shared" si="46"/>
        <v>9</v>
      </c>
      <c r="M267" s="1">
        <f t="shared" si="44"/>
        <v>35.355636363636357</v>
      </c>
      <c r="N267" s="184">
        <v>1</v>
      </c>
      <c r="P267" s="4">
        <f>INDEX('Vessel Valuations'!F$34:F$50,MATCH($E267,'Vessel Valuations'!$C$34:$C$50,0))</f>
        <v>7.8477078477077959E-5</v>
      </c>
      <c r="Q267" s="4">
        <f>INDEX('Vessel Valuations'!G$34:G$50,MATCH($E267,'Vessel Valuations'!$C$34:$C$50,0))</f>
        <v>2.6864801864801918E-2</v>
      </c>
      <c r="R267" s="4">
        <f>INDEX('Vessel Valuations'!H$34:H$50,MATCH($E267,'Vessel Valuations'!$C$34:$C$50,0))</f>
        <v>-2.5062160062160075</v>
      </c>
      <c r="S267" s="4">
        <f>INDEX('Vessel Valuations'!I$34:I$50,MATCH($E267,'Vessel Valuations'!$C$34:$C$50,0))</f>
        <v>55.67832167832168</v>
      </c>
      <c r="U267" s="202">
        <v>28307</v>
      </c>
      <c r="V267" s="185">
        <f>((INDEX('FFA &amp; Spot Rates'!F$23:F$43,MATCH(Hafnia!$E267,'FFA &amp; Spot Rates'!$C$23:$C$43,0))+$H267)*(1-INDEX(V$149:V$152,MATCH(Hafnia!$E267,$D$149:$D$152,0)))+INDEX(V$149:V$152,MATCH(Hafnia!$E267,$D$149:$D$152,0))*INDEX(V$154:V$157,MATCH(Hafnia!$E267,$D$154:$D$157,0)))*$N267</f>
        <v>33506.556917808222</v>
      </c>
      <c r="W267" s="185">
        <f>((INDEX('FFA &amp; Spot Rates'!G$23:G$43,MATCH(Hafnia!$E267,'FFA &amp; Spot Rates'!$C$23:$C$43,0))+$H267)*(1-INDEX(W$149:W$152,MATCH(Hafnia!$E267,$D$149:$D$152,0)))+INDEX(W$149:W$152,MATCH(Hafnia!$E267,$D$149:$D$152,0))*INDEX(W$154:W$157,MATCH(Hafnia!$E267,$D$154:$D$157,0)))*$N267</f>
        <v>27871.445205479453</v>
      </c>
      <c r="X267" s="185">
        <f>((INDEX('FFA &amp; Spot Rates'!H$23:H$43,MATCH(Hafnia!$E267,'FFA &amp; Spot Rates'!$C$23:$C$43,0))+$H267)*(1-INDEX(X$149:X$152,MATCH(Hafnia!$E267,$D$149:$D$152,0)))+INDEX(X$149:X$152,MATCH(Hafnia!$E267,$D$149:$D$152,0))*INDEX(X$154:X$157,MATCH(Hafnia!$E267,$D$154:$D$157,0)))*$N267</f>
        <v>39053.445205479453</v>
      </c>
      <c r="Y267" s="185">
        <f t="shared" si="45"/>
        <v>32184.611832191782</v>
      </c>
      <c r="Z267" s="185"/>
      <c r="AA267" s="185"/>
      <c r="AB267" s="185"/>
      <c r="AC267" s="185"/>
      <c r="AD267" s="185"/>
      <c r="AI267" s="21"/>
      <c r="AJ267" s="21"/>
    </row>
    <row r="268" spans="3:36" s="20" customFormat="1" outlineLevel="1" x14ac:dyDescent="0.2">
      <c r="C268" s="157" t="s">
        <v>981</v>
      </c>
      <c r="D268" s="157" t="s">
        <v>964</v>
      </c>
      <c r="E268" s="157" t="s">
        <v>15</v>
      </c>
      <c r="F268" s="158" t="s">
        <v>321</v>
      </c>
      <c r="G268" s="118">
        <v>1</v>
      </c>
      <c r="H268" s="152">
        <f>INDEX(Premiums!$G$27:$G$30,MATCH(Hafnia!E268,Premiums!$E$27:$E$30,0))*G268</f>
        <v>1313.4452054794519</v>
      </c>
      <c r="I268" s="186">
        <v>38506</v>
      </c>
      <c r="J268" s="159">
        <v>2015</v>
      </c>
      <c r="K268" s="63">
        <v>2024</v>
      </c>
      <c r="L268" s="56">
        <f t="shared" si="46"/>
        <v>9</v>
      </c>
      <c r="M268" s="1">
        <f t="shared" si="44"/>
        <v>35.355636363636357</v>
      </c>
      <c r="N268" s="184">
        <v>1</v>
      </c>
      <c r="P268" s="4">
        <f>INDEX('Vessel Valuations'!F$34:F$50,MATCH($E268,'Vessel Valuations'!$C$34:$C$50,0))</f>
        <v>7.8477078477077959E-5</v>
      </c>
      <c r="Q268" s="4">
        <f>INDEX('Vessel Valuations'!G$34:G$50,MATCH($E268,'Vessel Valuations'!$C$34:$C$50,0))</f>
        <v>2.6864801864801918E-2</v>
      </c>
      <c r="R268" s="4">
        <f>INDEX('Vessel Valuations'!H$34:H$50,MATCH($E268,'Vessel Valuations'!$C$34:$C$50,0))</f>
        <v>-2.5062160062160075</v>
      </c>
      <c r="S268" s="4">
        <f>INDEX('Vessel Valuations'!I$34:I$50,MATCH($E268,'Vessel Valuations'!$C$34:$C$50,0))</f>
        <v>55.67832167832168</v>
      </c>
      <c r="U268" s="202">
        <v>28307</v>
      </c>
      <c r="V268" s="185">
        <f>((INDEX('FFA &amp; Spot Rates'!F$23:F$43,MATCH(Hafnia!$E268,'FFA &amp; Spot Rates'!$C$23:$C$43,0))+$H268)*(1-INDEX(V$149:V$152,MATCH(Hafnia!$E268,$D$149:$D$152,0)))+INDEX(V$149:V$152,MATCH(Hafnia!$E268,$D$149:$D$152,0))*INDEX(V$154:V$157,MATCH(Hafnia!$E268,$D$154:$D$157,0)))*$N268</f>
        <v>33506.556917808222</v>
      </c>
      <c r="W268" s="185">
        <f>((INDEX('FFA &amp; Spot Rates'!G$23:G$43,MATCH(Hafnia!$E268,'FFA &amp; Spot Rates'!$C$23:$C$43,0))+$H268)*(1-INDEX(W$149:W$152,MATCH(Hafnia!$E268,$D$149:$D$152,0)))+INDEX(W$149:W$152,MATCH(Hafnia!$E268,$D$149:$D$152,0))*INDEX(W$154:W$157,MATCH(Hafnia!$E268,$D$154:$D$157,0)))*$N268</f>
        <v>27871.445205479453</v>
      </c>
      <c r="X268" s="185">
        <f>((INDEX('FFA &amp; Spot Rates'!H$23:H$43,MATCH(Hafnia!$E268,'FFA &amp; Spot Rates'!$C$23:$C$43,0))+$H268)*(1-INDEX(X$149:X$152,MATCH(Hafnia!$E268,$D$149:$D$152,0)))+INDEX(X$149:X$152,MATCH(Hafnia!$E268,$D$149:$D$152,0))*INDEX(X$154:X$157,MATCH(Hafnia!$E268,$D$154:$D$157,0)))*$N268</f>
        <v>39053.445205479453</v>
      </c>
      <c r="Y268" s="185">
        <f t="shared" si="45"/>
        <v>32184.611832191782</v>
      </c>
      <c r="Z268" s="185"/>
      <c r="AA268" s="185"/>
      <c r="AB268" s="185"/>
      <c r="AC268" s="185"/>
      <c r="AD268" s="185"/>
      <c r="AI268" s="21"/>
      <c r="AJ268" s="21"/>
    </row>
    <row r="269" spans="3:36" s="20" customFormat="1" outlineLevel="1" x14ac:dyDescent="0.2">
      <c r="C269" s="157" t="s">
        <v>982</v>
      </c>
      <c r="D269" s="157" t="s">
        <v>964</v>
      </c>
      <c r="E269" s="157" t="s">
        <v>15</v>
      </c>
      <c r="F269" s="158" t="s">
        <v>321</v>
      </c>
      <c r="G269" s="118">
        <v>1</v>
      </c>
      <c r="H269" s="152">
        <f>INDEX(Premiums!$G$27:$G$30,MATCH(Hafnia!E269,Premiums!$E$27:$E$30,0))*G269</f>
        <v>1313.4452054794519</v>
      </c>
      <c r="I269" s="186">
        <v>38506</v>
      </c>
      <c r="J269" s="159">
        <v>2015</v>
      </c>
      <c r="K269" s="63">
        <v>2024</v>
      </c>
      <c r="L269" s="56">
        <f t="shared" si="46"/>
        <v>9</v>
      </c>
      <c r="M269" s="1">
        <f t="shared" si="44"/>
        <v>35.355636363636357</v>
      </c>
      <c r="N269" s="184">
        <v>1</v>
      </c>
      <c r="P269" s="4">
        <f>INDEX('Vessel Valuations'!F$34:F$50,MATCH($E269,'Vessel Valuations'!$C$34:$C$50,0))</f>
        <v>7.8477078477077959E-5</v>
      </c>
      <c r="Q269" s="4">
        <f>INDEX('Vessel Valuations'!G$34:G$50,MATCH($E269,'Vessel Valuations'!$C$34:$C$50,0))</f>
        <v>2.6864801864801918E-2</v>
      </c>
      <c r="R269" s="4">
        <f>INDEX('Vessel Valuations'!H$34:H$50,MATCH($E269,'Vessel Valuations'!$C$34:$C$50,0))</f>
        <v>-2.5062160062160075</v>
      </c>
      <c r="S269" s="4">
        <f>INDEX('Vessel Valuations'!I$34:I$50,MATCH($E269,'Vessel Valuations'!$C$34:$C$50,0))</f>
        <v>55.67832167832168</v>
      </c>
      <c r="U269" s="202">
        <v>28307</v>
      </c>
      <c r="V269" s="185">
        <f>((INDEX('FFA &amp; Spot Rates'!F$23:F$43,MATCH(Hafnia!$E269,'FFA &amp; Spot Rates'!$C$23:$C$43,0))+$H269)*(1-INDEX(V$149:V$152,MATCH(Hafnia!$E269,$D$149:$D$152,0)))+INDEX(V$149:V$152,MATCH(Hafnia!$E269,$D$149:$D$152,0))*INDEX(V$154:V$157,MATCH(Hafnia!$E269,$D$154:$D$157,0)))*$N269</f>
        <v>33506.556917808222</v>
      </c>
      <c r="W269" s="185">
        <f>((INDEX('FFA &amp; Spot Rates'!G$23:G$43,MATCH(Hafnia!$E269,'FFA &amp; Spot Rates'!$C$23:$C$43,0))+$H269)*(1-INDEX(W$149:W$152,MATCH(Hafnia!$E269,$D$149:$D$152,0)))+INDEX(W$149:W$152,MATCH(Hafnia!$E269,$D$149:$D$152,0))*INDEX(W$154:W$157,MATCH(Hafnia!$E269,$D$154:$D$157,0)))*$N269</f>
        <v>27871.445205479453</v>
      </c>
      <c r="X269" s="185">
        <f>((INDEX('FFA &amp; Spot Rates'!H$23:H$43,MATCH(Hafnia!$E269,'FFA &amp; Spot Rates'!$C$23:$C$43,0))+$H269)*(1-INDEX(X$149:X$152,MATCH(Hafnia!$E269,$D$149:$D$152,0)))+INDEX(X$149:X$152,MATCH(Hafnia!$E269,$D$149:$D$152,0))*INDEX(X$154:X$157,MATCH(Hafnia!$E269,$D$154:$D$157,0)))*$N269</f>
        <v>39053.445205479453</v>
      </c>
      <c r="Y269" s="185">
        <f t="shared" si="45"/>
        <v>32184.611832191782</v>
      </c>
      <c r="Z269" s="185"/>
      <c r="AA269" s="185"/>
      <c r="AB269" s="185"/>
      <c r="AC269" s="185"/>
      <c r="AD269" s="185"/>
      <c r="AI269" s="21"/>
      <c r="AJ269" s="21"/>
    </row>
    <row r="270" spans="3:36" s="20" customFormat="1" outlineLevel="1" x14ac:dyDescent="0.2">
      <c r="C270" s="157" t="s">
        <v>983</v>
      </c>
      <c r="D270" s="157" t="s">
        <v>964</v>
      </c>
      <c r="E270" s="157" t="s">
        <v>15</v>
      </c>
      <c r="F270" s="158" t="s">
        <v>321</v>
      </c>
      <c r="G270" s="118">
        <v>1</v>
      </c>
      <c r="H270" s="152">
        <f>INDEX(Premiums!$G$27:$G$30,MATCH(Hafnia!E270,Premiums!$E$27:$E$30,0))*G270</f>
        <v>1313.4452054794519</v>
      </c>
      <c r="I270" s="186">
        <v>38506</v>
      </c>
      <c r="J270" s="159">
        <v>2015</v>
      </c>
      <c r="K270" s="63">
        <v>2024</v>
      </c>
      <c r="L270" s="56">
        <f t="shared" si="46"/>
        <v>9</v>
      </c>
      <c r="M270" s="1">
        <f t="shared" si="44"/>
        <v>35.355636363636357</v>
      </c>
      <c r="N270" s="184">
        <v>1</v>
      </c>
      <c r="P270" s="4">
        <f>INDEX('Vessel Valuations'!F$34:F$50,MATCH($E270,'Vessel Valuations'!$C$34:$C$50,0))</f>
        <v>7.8477078477077959E-5</v>
      </c>
      <c r="Q270" s="4">
        <f>INDEX('Vessel Valuations'!G$34:G$50,MATCH($E270,'Vessel Valuations'!$C$34:$C$50,0))</f>
        <v>2.6864801864801918E-2</v>
      </c>
      <c r="R270" s="4">
        <f>INDEX('Vessel Valuations'!H$34:H$50,MATCH($E270,'Vessel Valuations'!$C$34:$C$50,0))</f>
        <v>-2.5062160062160075</v>
      </c>
      <c r="S270" s="4">
        <f>INDEX('Vessel Valuations'!I$34:I$50,MATCH($E270,'Vessel Valuations'!$C$34:$C$50,0))</f>
        <v>55.67832167832168</v>
      </c>
      <c r="U270" s="202">
        <v>28307</v>
      </c>
      <c r="V270" s="185">
        <f>((INDEX('FFA &amp; Spot Rates'!F$23:F$43,MATCH(Hafnia!$E270,'FFA &amp; Spot Rates'!$C$23:$C$43,0))+$H270)*(1-INDEX(V$149:V$152,MATCH(Hafnia!$E270,$D$149:$D$152,0)))+INDEX(V$149:V$152,MATCH(Hafnia!$E270,$D$149:$D$152,0))*INDEX(V$154:V$157,MATCH(Hafnia!$E270,$D$154:$D$157,0)))*$N270</f>
        <v>33506.556917808222</v>
      </c>
      <c r="W270" s="185">
        <f>((INDEX('FFA &amp; Spot Rates'!G$23:G$43,MATCH(Hafnia!$E270,'FFA &amp; Spot Rates'!$C$23:$C$43,0))+$H270)*(1-INDEX(W$149:W$152,MATCH(Hafnia!$E270,$D$149:$D$152,0)))+INDEX(W$149:W$152,MATCH(Hafnia!$E270,$D$149:$D$152,0))*INDEX(W$154:W$157,MATCH(Hafnia!$E270,$D$154:$D$157,0)))*$N270</f>
        <v>27871.445205479453</v>
      </c>
      <c r="X270" s="185">
        <f>((INDEX('FFA &amp; Spot Rates'!H$23:H$43,MATCH(Hafnia!$E270,'FFA &amp; Spot Rates'!$C$23:$C$43,0))+$H270)*(1-INDEX(X$149:X$152,MATCH(Hafnia!$E270,$D$149:$D$152,0)))+INDEX(X$149:X$152,MATCH(Hafnia!$E270,$D$149:$D$152,0))*INDEX(X$154:X$157,MATCH(Hafnia!$E270,$D$154:$D$157,0)))*$N270</f>
        <v>39053.445205479453</v>
      </c>
      <c r="Y270" s="185">
        <f t="shared" si="45"/>
        <v>32184.611832191782</v>
      </c>
      <c r="Z270" s="185"/>
      <c r="AA270" s="185"/>
      <c r="AB270" s="185"/>
      <c r="AC270" s="185"/>
      <c r="AD270" s="185"/>
      <c r="AI270" s="21"/>
      <c r="AJ270" s="21"/>
    </row>
    <row r="271" spans="3:36" s="20" customFormat="1" outlineLevel="1" x14ac:dyDescent="0.2">
      <c r="C271" s="157" t="s">
        <v>984</v>
      </c>
      <c r="D271" s="157" t="s">
        <v>964</v>
      </c>
      <c r="E271" s="157" t="s">
        <v>15</v>
      </c>
      <c r="F271" s="158" t="s">
        <v>321</v>
      </c>
      <c r="G271" s="118">
        <v>1</v>
      </c>
      <c r="H271" s="152">
        <f>INDEX(Premiums!$G$27:$G$30,MATCH(Hafnia!E271,Premiums!$E$27:$E$30,0))*G271</f>
        <v>1313.4452054794519</v>
      </c>
      <c r="I271" s="186">
        <v>38506</v>
      </c>
      <c r="J271" s="159">
        <v>2015</v>
      </c>
      <c r="K271" s="63">
        <v>2024</v>
      </c>
      <c r="L271" s="56">
        <f t="shared" si="46"/>
        <v>9</v>
      </c>
      <c r="M271" s="1">
        <f t="shared" si="44"/>
        <v>35.355636363636357</v>
      </c>
      <c r="N271" s="184">
        <v>1</v>
      </c>
      <c r="P271" s="4">
        <f>INDEX('Vessel Valuations'!F$34:F$50,MATCH($E271,'Vessel Valuations'!$C$34:$C$50,0))</f>
        <v>7.8477078477077959E-5</v>
      </c>
      <c r="Q271" s="4">
        <f>INDEX('Vessel Valuations'!G$34:G$50,MATCH($E271,'Vessel Valuations'!$C$34:$C$50,0))</f>
        <v>2.6864801864801918E-2</v>
      </c>
      <c r="R271" s="4">
        <f>INDEX('Vessel Valuations'!H$34:H$50,MATCH($E271,'Vessel Valuations'!$C$34:$C$50,0))</f>
        <v>-2.5062160062160075</v>
      </c>
      <c r="S271" s="4">
        <f>INDEX('Vessel Valuations'!I$34:I$50,MATCH($E271,'Vessel Valuations'!$C$34:$C$50,0))</f>
        <v>55.67832167832168</v>
      </c>
      <c r="U271" s="202">
        <v>28307</v>
      </c>
      <c r="V271" s="185">
        <f>((INDEX('FFA &amp; Spot Rates'!F$23:F$43,MATCH(Hafnia!$E271,'FFA &amp; Spot Rates'!$C$23:$C$43,0))+$H271)*(1-INDEX(V$149:V$152,MATCH(Hafnia!$E271,$D$149:$D$152,0)))+INDEX(V$149:V$152,MATCH(Hafnia!$E271,$D$149:$D$152,0))*INDEX(V$154:V$157,MATCH(Hafnia!$E271,$D$154:$D$157,0)))*$N271</f>
        <v>33506.556917808222</v>
      </c>
      <c r="W271" s="185">
        <f>((INDEX('FFA &amp; Spot Rates'!G$23:G$43,MATCH(Hafnia!$E271,'FFA &amp; Spot Rates'!$C$23:$C$43,0))+$H271)*(1-INDEX(W$149:W$152,MATCH(Hafnia!$E271,$D$149:$D$152,0)))+INDEX(W$149:W$152,MATCH(Hafnia!$E271,$D$149:$D$152,0))*INDEX(W$154:W$157,MATCH(Hafnia!$E271,$D$154:$D$157,0)))*$N271</f>
        <v>27871.445205479453</v>
      </c>
      <c r="X271" s="185">
        <f>((INDEX('FFA &amp; Spot Rates'!H$23:H$43,MATCH(Hafnia!$E271,'FFA &amp; Spot Rates'!$C$23:$C$43,0))+$H271)*(1-INDEX(X$149:X$152,MATCH(Hafnia!$E271,$D$149:$D$152,0)))+INDEX(X$149:X$152,MATCH(Hafnia!$E271,$D$149:$D$152,0))*INDEX(X$154:X$157,MATCH(Hafnia!$E271,$D$154:$D$157,0)))*$N271</f>
        <v>39053.445205479453</v>
      </c>
      <c r="Y271" s="185">
        <f t="shared" si="45"/>
        <v>32184.611832191782</v>
      </c>
      <c r="Z271" s="185"/>
      <c r="AA271" s="185"/>
      <c r="AB271" s="185"/>
      <c r="AC271" s="185"/>
      <c r="AD271" s="185"/>
      <c r="AI271" s="21"/>
      <c r="AJ271" s="21"/>
    </row>
    <row r="272" spans="3:36" s="20" customFormat="1" outlineLevel="1" x14ac:dyDescent="0.2">
      <c r="C272" s="157" t="s">
        <v>985</v>
      </c>
      <c r="D272" s="157" t="s">
        <v>964</v>
      </c>
      <c r="E272" s="157" t="s">
        <v>15</v>
      </c>
      <c r="F272" s="158" t="s">
        <v>321</v>
      </c>
      <c r="G272" s="118">
        <v>1</v>
      </c>
      <c r="H272" s="152">
        <f>INDEX(Premiums!$G$27:$G$30,MATCH(Hafnia!E272,Premiums!$E$27:$E$30,0))*G272</f>
        <v>1313.4452054794519</v>
      </c>
      <c r="I272" s="186">
        <v>38506</v>
      </c>
      <c r="J272" s="159">
        <v>2015</v>
      </c>
      <c r="K272" s="63">
        <v>2024</v>
      </c>
      <c r="L272" s="56">
        <f t="shared" si="46"/>
        <v>9</v>
      </c>
      <c r="M272" s="1">
        <f t="shared" si="44"/>
        <v>35.355636363636357</v>
      </c>
      <c r="N272" s="184">
        <v>1</v>
      </c>
      <c r="P272" s="4">
        <f>INDEX('Vessel Valuations'!F$34:F$50,MATCH($E272,'Vessel Valuations'!$C$34:$C$50,0))</f>
        <v>7.8477078477077959E-5</v>
      </c>
      <c r="Q272" s="4">
        <f>INDEX('Vessel Valuations'!G$34:G$50,MATCH($E272,'Vessel Valuations'!$C$34:$C$50,0))</f>
        <v>2.6864801864801918E-2</v>
      </c>
      <c r="R272" s="4">
        <f>INDEX('Vessel Valuations'!H$34:H$50,MATCH($E272,'Vessel Valuations'!$C$34:$C$50,0))</f>
        <v>-2.5062160062160075</v>
      </c>
      <c r="S272" s="4">
        <f>INDEX('Vessel Valuations'!I$34:I$50,MATCH($E272,'Vessel Valuations'!$C$34:$C$50,0))</f>
        <v>55.67832167832168</v>
      </c>
      <c r="U272" s="202">
        <v>28307</v>
      </c>
      <c r="V272" s="185">
        <f>((INDEX('FFA &amp; Spot Rates'!F$23:F$43,MATCH(Hafnia!$E272,'FFA &amp; Spot Rates'!$C$23:$C$43,0))+$H272)*(1-INDEX(V$149:V$152,MATCH(Hafnia!$E272,$D$149:$D$152,0)))+INDEX(V$149:V$152,MATCH(Hafnia!$E272,$D$149:$D$152,0))*INDEX(V$154:V$157,MATCH(Hafnia!$E272,$D$154:$D$157,0)))*$N272</f>
        <v>33506.556917808222</v>
      </c>
      <c r="W272" s="185">
        <f>((INDEX('FFA &amp; Spot Rates'!G$23:G$43,MATCH(Hafnia!$E272,'FFA &amp; Spot Rates'!$C$23:$C$43,0))+$H272)*(1-INDEX(W$149:W$152,MATCH(Hafnia!$E272,$D$149:$D$152,0)))+INDEX(W$149:W$152,MATCH(Hafnia!$E272,$D$149:$D$152,0))*INDEX(W$154:W$157,MATCH(Hafnia!$E272,$D$154:$D$157,0)))*$N272</f>
        <v>27871.445205479453</v>
      </c>
      <c r="X272" s="185">
        <f>((INDEX('FFA &amp; Spot Rates'!H$23:H$43,MATCH(Hafnia!$E272,'FFA &amp; Spot Rates'!$C$23:$C$43,0))+$H272)*(1-INDEX(X$149:X$152,MATCH(Hafnia!$E272,$D$149:$D$152,0)))+INDEX(X$149:X$152,MATCH(Hafnia!$E272,$D$149:$D$152,0))*INDEX(X$154:X$157,MATCH(Hafnia!$E272,$D$154:$D$157,0)))*$N272</f>
        <v>39053.445205479453</v>
      </c>
      <c r="Y272" s="185">
        <f t="shared" si="45"/>
        <v>32184.611832191782</v>
      </c>
      <c r="Z272" s="185"/>
      <c r="AA272" s="185"/>
      <c r="AB272" s="185"/>
      <c r="AC272" s="185"/>
      <c r="AD272" s="185"/>
      <c r="AI272" s="21"/>
      <c r="AJ272" s="21"/>
    </row>
    <row r="273" spans="3:36" s="20" customFormat="1" outlineLevel="1" x14ac:dyDescent="0.2">
      <c r="C273" s="157" t="s">
        <v>986</v>
      </c>
      <c r="D273" s="157" t="s">
        <v>964</v>
      </c>
      <c r="E273" s="157" t="s">
        <v>15</v>
      </c>
      <c r="F273" s="158" t="s">
        <v>321</v>
      </c>
      <c r="G273" s="118">
        <v>1</v>
      </c>
      <c r="H273" s="152">
        <f>INDEX(Premiums!$G$27:$G$30,MATCH(Hafnia!E273,Premiums!$E$27:$E$30,0))*G273</f>
        <v>1313.4452054794519</v>
      </c>
      <c r="I273" s="186">
        <v>38506</v>
      </c>
      <c r="J273" s="159">
        <v>2015</v>
      </c>
      <c r="K273" s="63">
        <v>2024</v>
      </c>
      <c r="L273" s="56">
        <f t="shared" si="46"/>
        <v>9</v>
      </c>
      <c r="M273" s="1">
        <f t="shared" si="44"/>
        <v>35.355636363636357</v>
      </c>
      <c r="N273" s="184">
        <v>1</v>
      </c>
      <c r="P273" s="4">
        <f>INDEX('Vessel Valuations'!F$34:F$50,MATCH($E273,'Vessel Valuations'!$C$34:$C$50,0))</f>
        <v>7.8477078477077959E-5</v>
      </c>
      <c r="Q273" s="4">
        <f>INDEX('Vessel Valuations'!G$34:G$50,MATCH($E273,'Vessel Valuations'!$C$34:$C$50,0))</f>
        <v>2.6864801864801918E-2</v>
      </c>
      <c r="R273" s="4">
        <f>INDEX('Vessel Valuations'!H$34:H$50,MATCH($E273,'Vessel Valuations'!$C$34:$C$50,0))</f>
        <v>-2.5062160062160075</v>
      </c>
      <c r="S273" s="4">
        <f>INDEX('Vessel Valuations'!I$34:I$50,MATCH($E273,'Vessel Valuations'!$C$34:$C$50,0))</f>
        <v>55.67832167832168</v>
      </c>
      <c r="U273" s="202">
        <v>28307</v>
      </c>
      <c r="V273" s="185">
        <f>((INDEX('FFA &amp; Spot Rates'!F$23:F$43,MATCH(Hafnia!$E273,'FFA &amp; Spot Rates'!$C$23:$C$43,0))+$H273)*(1-INDEX(V$149:V$152,MATCH(Hafnia!$E273,$D$149:$D$152,0)))+INDEX(V$149:V$152,MATCH(Hafnia!$E273,$D$149:$D$152,0))*INDEX(V$154:V$157,MATCH(Hafnia!$E273,$D$154:$D$157,0)))*$N273</f>
        <v>33506.556917808222</v>
      </c>
      <c r="W273" s="185">
        <f>((INDEX('FFA &amp; Spot Rates'!G$23:G$43,MATCH(Hafnia!$E273,'FFA &amp; Spot Rates'!$C$23:$C$43,0))+$H273)*(1-INDEX(W$149:W$152,MATCH(Hafnia!$E273,$D$149:$D$152,0)))+INDEX(W$149:W$152,MATCH(Hafnia!$E273,$D$149:$D$152,0))*INDEX(W$154:W$157,MATCH(Hafnia!$E273,$D$154:$D$157,0)))*$N273</f>
        <v>27871.445205479453</v>
      </c>
      <c r="X273" s="185">
        <f>((INDEX('FFA &amp; Spot Rates'!H$23:H$43,MATCH(Hafnia!$E273,'FFA &amp; Spot Rates'!$C$23:$C$43,0))+$H273)*(1-INDEX(X$149:X$152,MATCH(Hafnia!$E273,$D$149:$D$152,0)))+INDEX(X$149:X$152,MATCH(Hafnia!$E273,$D$149:$D$152,0))*INDEX(X$154:X$157,MATCH(Hafnia!$E273,$D$154:$D$157,0)))*$N273</f>
        <v>39053.445205479453</v>
      </c>
      <c r="Y273" s="185">
        <f t="shared" si="45"/>
        <v>32184.611832191782</v>
      </c>
      <c r="Z273" s="185"/>
      <c r="AA273" s="185"/>
      <c r="AB273" s="185"/>
      <c r="AC273" s="185"/>
      <c r="AD273" s="185"/>
      <c r="AI273" s="21"/>
      <c r="AJ273" s="21"/>
    </row>
    <row r="274" spans="3:36" s="20" customFormat="1" outlineLevel="1" x14ac:dyDescent="0.2">
      <c r="C274" s="157" t="s">
        <v>987</v>
      </c>
      <c r="D274" s="157" t="s">
        <v>964</v>
      </c>
      <c r="E274" s="157" t="s">
        <v>15</v>
      </c>
      <c r="F274" s="158" t="s">
        <v>321</v>
      </c>
      <c r="G274" s="118">
        <v>1</v>
      </c>
      <c r="H274" s="152">
        <f>INDEX(Premiums!$G$27:$G$30,MATCH(Hafnia!E274,Premiums!$E$27:$E$30,0))*G274</f>
        <v>1313.4452054794519</v>
      </c>
      <c r="I274" s="186">
        <v>38506</v>
      </c>
      <c r="J274" s="159">
        <v>2015</v>
      </c>
      <c r="K274" s="63">
        <v>2024</v>
      </c>
      <c r="L274" s="56">
        <f t="shared" si="46"/>
        <v>9</v>
      </c>
      <c r="M274" s="1">
        <f t="shared" si="44"/>
        <v>35.355636363636357</v>
      </c>
      <c r="N274" s="184">
        <v>1</v>
      </c>
      <c r="P274" s="4">
        <f>INDEX('Vessel Valuations'!F$34:F$50,MATCH($E274,'Vessel Valuations'!$C$34:$C$50,0))</f>
        <v>7.8477078477077959E-5</v>
      </c>
      <c r="Q274" s="4">
        <f>INDEX('Vessel Valuations'!G$34:G$50,MATCH($E274,'Vessel Valuations'!$C$34:$C$50,0))</f>
        <v>2.6864801864801918E-2</v>
      </c>
      <c r="R274" s="4">
        <f>INDEX('Vessel Valuations'!H$34:H$50,MATCH($E274,'Vessel Valuations'!$C$34:$C$50,0))</f>
        <v>-2.5062160062160075</v>
      </c>
      <c r="S274" s="4">
        <f>INDEX('Vessel Valuations'!I$34:I$50,MATCH($E274,'Vessel Valuations'!$C$34:$C$50,0))</f>
        <v>55.67832167832168</v>
      </c>
      <c r="U274" s="202">
        <v>28307</v>
      </c>
      <c r="V274" s="185">
        <f>((INDEX('FFA &amp; Spot Rates'!F$23:F$43,MATCH(Hafnia!$E274,'FFA &amp; Spot Rates'!$C$23:$C$43,0))+$H274)*(1-INDEX(V$149:V$152,MATCH(Hafnia!$E274,$D$149:$D$152,0)))+INDEX(V$149:V$152,MATCH(Hafnia!$E274,$D$149:$D$152,0))*INDEX(V$154:V$157,MATCH(Hafnia!$E274,$D$154:$D$157,0)))*$N274</f>
        <v>33506.556917808222</v>
      </c>
      <c r="W274" s="185">
        <f>((INDEX('FFA &amp; Spot Rates'!G$23:G$43,MATCH(Hafnia!$E274,'FFA &amp; Spot Rates'!$C$23:$C$43,0))+$H274)*(1-INDEX(W$149:W$152,MATCH(Hafnia!$E274,$D$149:$D$152,0)))+INDEX(W$149:W$152,MATCH(Hafnia!$E274,$D$149:$D$152,0))*INDEX(W$154:W$157,MATCH(Hafnia!$E274,$D$154:$D$157,0)))*$N274</f>
        <v>27871.445205479453</v>
      </c>
      <c r="X274" s="185">
        <f>((INDEX('FFA &amp; Spot Rates'!H$23:H$43,MATCH(Hafnia!$E274,'FFA &amp; Spot Rates'!$C$23:$C$43,0))+$H274)*(1-INDEX(X$149:X$152,MATCH(Hafnia!$E274,$D$149:$D$152,0)))+INDEX(X$149:X$152,MATCH(Hafnia!$E274,$D$149:$D$152,0))*INDEX(X$154:X$157,MATCH(Hafnia!$E274,$D$154:$D$157,0)))*$N274</f>
        <v>39053.445205479453</v>
      </c>
      <c r="Y274" s="185">
        <f t="shared" si="45"/>
        <v>32184.611832191782</v>
      </c>
      <c r="Z274" s="185"/>
      <c r="AA274" s="185"/>
      <c r="AB274" s="185"/>
      <c r="AC274" s="185"/>
      <c r="AD274" s="185"/>
      <c r="AI274" s="21"/>
      <c r="AJ274" s="21"/>
    </row>
    <row r="275" spans="3:36" s="20" customFormat="1" outlineLevel="1" x14ac:dyDescent="0.2">
      <c r="C275" s="157" t="s">
        <v>988</v>
      </c>
      <c r="D275" s="157" t="s">
        <v>964</v>
      </c>
      <c r="E275" s="157" t="s">
        <v>15</v>
      </c>
      <c r="F275" s="158" t="s">
        <v>321</v>
      </c>
      <c r="G275" s="118">
        <v>1</v>
      </c>
      <c r="H275" s="152">
        <f>INDEX(Premiums!$G$27:$G$30,MATCH(Hafnia!E275,Premiums!$E$27:$E$30,0))*G275</f>
        <v>1313.4452054794519</v>
      </c>
      <c r="I275" s="186">
        <v>38506</v>
      </c>
      <c r="J275" s="159">
        <v>2015</v>
      </c>
      <c r="K275" s="63">
        <v>2024</v>
      </c>
      <c r="L275" s="56">
        <f t="shared" si="46"/>
        <v>9</v>
      </c>
      <c r="M275" s="1">
        <f t="shared" si="44"/>
        <v>35.355636363636357</v>
      </c>
      <c r="N275" s="184">
        <v>1</v>
      </c>
      <c r="P275" s="4">
        <f>INDEX('Vessel Valuations'!F$34:F$50,MATCH($E275,'Vessel Valuations'!$C$34:$C$50,0))</f>
        <v>7.8477078477077959E-5</v>
      </c>
      <c r="Q275" s="4">
        <f>INDEX('Vessel Valuations'!G$34:G$50,MATCH($E275,'Vessel Valuations'!$C$34:$C$50,0))</f>
        <v>2.6864801864801918E-2</v>
      </c>
      <c r="R275" s="4">
        <f>INDEX('Vessel Valuations'!H$34:H$50,MATCH($E275,'Vessel Valuations'!$C$34:$C$50,0))</f>
        <v>-2.5062160062160075</v>
      </c>
      <c r="S275" s="4">
        <f>INDEX('Vessel Valuations'!I$34:I$50,MATCH($E275,'Vessel Valuations'!$C$34:$C$50,0))</f>
        <v>55.67832167832168</v>
      </c>
      <c r="U275" s="202">
        <v>28307</v>
      </c>
      <c r="V275" s="185">
        <f>((INDEX('FFA &amp; Spot Rates'!F$23:F$43,MATCH(Hafnia!$E275,'FFA &amp; Spot Rates'!$C$23:$C$43,0))+$H275)*(1-INDEX(V$149:V$152,MATCH(Hafnia!$E275,$D$149:$D$152,0)))+INDEX(V$149:V$152,MATCH(Hafnia!$E275,$D$149:$D$152,0))*INDEX(V$154:V$157,MATCH(Hafnia!$E275,$D$154:$D$157,0)))*$N275</f>
        <v>33506.556917808222</v>
      </c>
      <c r="W275" s="185">
        <f>((INDEX('FFA &amp; Spot Rates'!G$23:G$43,MATCH(Hafnia!$E275,'FFA &amp; Spot Rates'!$C$23:$C$43,0))+$H275)*(1-INDEX(W$149:W$152,MATCH(Hafnia!$E275,$D$149:$D$152,0)))+INDEX(W$149:W$152,MATCH(Hafnia!$E275,$D$149:$D$152,0))*INDEX(W$154:W$157,MATCH(Hafnia!$E275,$D$154:$D$157,0)))*$N275</f>
        <v>27871.445205479453</v>
      </c>
      <c r="X275" s="185">
        <f>((INDEX('FFA &amp; Spot Rates'!H$23:H$43,MATCH(Hafnia!$E275,'FFA &amp; Spot Rates'!$C$23:$C$43,0))+$H275)*(1-INDEX(X$149:X$152,MATCH(Hafnia!$E275,$D$149:$D$152,0)))+INDEX(X$149:X$152,MATCH(Hafnia!$E275,$D$149:$D$152,0))*INDEX(X$154:X$157,MATCH(Hafnia!$E275,$D$154:$D$157,0)))*$N275</f>
        <v>39053.445205479453</v>
      </c>
      <c r="Y275" s="185">
        <f t="shared" si="45"/>
        <v>32184.611832191782</v>
      </c>
      <c r="Z275" s="185"/>
      <c r="AA275" s="185"/>
      <c r="AB275" s="185"/>
      <c r="AC275" s="185"/>
      <c r="AD275" s="185"/>
      <c r="AI275" s="21"/>
      <c r="AJ275" s="21"/>
    </row>
    <row r="276" spans="3:36" s="20" customFormat="1" outlineLevel="1" x14ac:dyDescent="0.2">
      <c r="C276" s="157" t="s">
        <v>989</v>
      </c>
      <c r="D276" s="157" t="s">
        <v>15</v>
      </c>
      <c r="E276" s="157" t="s">
        <v>15</v>
      </c>
      <c r="F276" s="158" t="s">
        <v>321</v>
      </c>
      <c r="G276" s="118">
        <v>1</v>
      </c>
      <c r="H276" s="152">
        <f>INDEX(Premiums!$G$27:$G$30,MATCH(Hafnia!E276,Premiums!$E$27:$E$30,0))*G276</f>
        <v>1313.4452054794519</v>
      </c>
      <c r="I276" s="186">
        <v>34999</v>
      </c>
      <c r="J276" s="159">
        <v>2015</v>
      </c>
      <c r="K276" s="63">
        <v>2024</v>
      </c>
      <c r="L276" s="56">
        <f t="shared" si="46"/>
        <v>9</v>
      </c>
      <c r="M276" s="1">
        <f t="shared" si="44"/>
        <v>35.355636363636357</v>
      </c>
      <c r="N276" s="184">
        <v>1</v>
      </c>
      <c r="P276" s="4">
        <f>INDEX('Vessel Valuations'!F$34:F$50,MATCH($E276,'Vessel Valuations'!$C$34:$C$50,0))</f>
        <v>7.8477078477077959E-5</v>
      </c>
      <c r="Q276" s="4">
        <f>INDEX('Vessel Valuations'!G$34:G$50,MATCH($E276,'Vessel Valuations'!$C$34:$C$50,0))</f>
        <v>2.6864801864801918E-2</v>
      </c>
      <c r="R276" s="4">
        <f>INDEX('Vessel Valuations'!H$34:H$50,MATCH($E276,'Vessel Valuations'!$C$34:$C$50,0))</f>
        <v>-2.5062160062160075</v>
      </c>
      <c r="S276" s="4">
        <f>INDEX('Vessel Valuations'!I$34:I$50,MATCH($E276,'Vessel Valuations'!$C$34:$C$50,0))</f>
        <v>55.67832167832168</v>
      </c>
      <c r="U276" s="202">
        <v>28307</v>
      </c>
      <c r="V276" s="185">
        <f>((INDEX('FFA &amp; Spot Rates'!F$23:F$43,MATCH(Hafnia!$E276,'FFA &amp; Spot Rates'!$C$23:$C$43,0))+$H276)*(1-INDEX(V$149:V$152,MATCH(Hafnia!$E276,$D$149:$D$152,0)))+INDEX(V$149:V$152,MATCH(Hafnia!$E276,$D$149:$D$152,0))*INDEX(V$154:V$157,MATCH(Hafnia!$E276,$D$154:$D$157,0)))*$N276</f>
        <v>33506.556917808222</v>
      </c>
      <c r="W276" s="185">
        <f>((INDEX('FFA &amp; Spot Rates'!G$23:G$43,MATCH(Hafnia!$E276,'FFA &amp; Spot Rates'!$C$23:$C$43,0))+$H276)*(1-INDEX(W$149:W$152,MATCH(Hafnia!$E276,$D$149:$D$152,0)))+INDEX(W$149:W$152,MATCH(Hafnia!$E276,$D$149:$D$152,0))*INDEX(W$154:W$157,MATCH(Hafnia!$E276,$D$154:$D$157,0)))*$N276</f>
        <v>27871.445205479453</v>
      </c>
      <c r="X276" s="185">
        <f>((INDEX('FFA &amp; Spot Rates'!H$23:H$43,MATCH(Hafnia!$E276,'FFA &amp; Spot Rates'!$C$23:$C$43,0))+$H276)*(1-INDEX(X$149:X$152,MATCH(Hafnia!$E276,$D$149:$D$152,0)))+INDEX(X$149:X$152,MATCH(Hafnia!$E276,$D$149:$D$152,0))*INDEX(X$154:X$157,MATCH(Hafnia!$E276,$D$154:$D$157,0)))*$N276</f>
        <v>39053.445205479453</v>
      </c>
      <c r="Y276" s="185">
        <f t="shared" si="45"/>
        <v>32184.611832191782</v>
      </c>
      <c r="Z276" s="185"/>
      <c r="AA276" s="185"/>
      <c r="AB276" s="185"/>
      <c r="AC276" s="185"/>
      <c r="AD276" s="185"/>
      <c r="AI276" s="21"/>
      <c r="AJ276" s="21"/>
    </row>
    <row r="277" spans="3:36" s="20" customFormat="1" outlineLevel="1" x14ac:dyDescent="0.2">
      <c r="C277" s="157" t="s">
        <v>904</v>
      </c>
      <c r="D277" s="157" t="s">
        <v>990</v>
      </c>
      <c r="E277" s="157" t="s">
        <v>14</v>
      </c>
      <c r="F277" s="158" t="s">
        <v>321</v>
      </c>
      <c r="G277" s="118">
        <v>0</v>
      </c>
      <c r="H277" s="152">
        <f>INDEX(Premiums!$G$27:$G$30,MATCH(Hafnia!E277,Premiums!$E$27:$E$30,0))*G277</f>
        <v>0</v>
      </c>
      <c r="I277" s="186">
        <v>74539</v>
      </c>
      <c r="J277" s="159">
        <v>2010</v>
      </c>
      <c r="K277" s="63">
        <v>2024</v>
      </c>
      <c r="L277" s="56">
        <f t="shared" si="46"/>
        <v>14</v>
      </c>
      <c r="M277" s="1">
        <f t="shared" si="44"/>
        <v>30.239988811188809</v>
      </c>
      <c r="N277" s="184">
        <v>1</v>
      </c>
      <c r="P277" s="4">
        <f>INDEX('Vessel Valuations'!F$34:F$50,MATCH($E277,'Vessel Valuations'!$C$34:$C$50,0))</f>
        <v>1.2463092463092584E-4</v>
      </c>
      <c r="Q277" s="4">
        <f>INDEX('Vessel Valuations'!G$34:G$50,MATCH($E277,'Vessel Valuations'!$C$34:$C$50,0))</f>
        <v>2.8032634032633983E-2</v>
      </c>
      <c r="R277" s="4">
        <f>INDEX('Vessel Valuations'!H$34:H$50,MATCH($E277,'Vessel Valuations'!$C$34:$C$50,0))</f>
        <v>-2.83950271950272</v>
      </c>
      <c r="S277" s="4">
        <f>INDEX('Vessel Valuations'!I$34:I$50,MATCH($E277,'Vessel Valuations'!$C$34:$C$50,0))</f>
        <v>64.156643356643372</v>
      </c>
      <c r="U277" s="217">
        <v>46749</v>
      </c>
      <c r="V277" s="185">
        <f>((INDEX('FFA &amp; Spot Rates'!F$23:F$43,MATCH(Hafnia!$E277,'FFA &amp; Spot Rates'!$C$23:$C$43,0))+$H277)*(1-INDEX(V$149:V$152,MATCH(Hafnia!$E277,$D$149:$D$152,0)))+INDEX(V$149:V$152,MATCH(Hafnia!$E277,$D$149:$D$152,0))*INDEX(V$154:V$157,MATCH(Hafnia!$E277,$D$154:$D$157,0)))*$N277</f>
        <v>43057.96</v>
      </c>
      <c r="W277" s="185">
        <f>((INDEX('FFA &amp; Spot Rates'!G$23:G$43,MATCH(Hafnia!$E277,'FFA &amp; Spot Rates'!$C$23:$C$43,0))+$H277)*(1-INDEX(W$149:W$152,MATCH(Hafnia!$E277,$D$149:$D$152,0)))+INDEX(W$149:W$152,MATCH(Hafnia!$E277,$D$149:$D$152,0))*INDEX(W$154:W$157,MATCH(Hafnia!$E277,$D$154:$D$157,0)))*$N277</f>
        <v>33884</v>
      </c>
      <c r="X277" s="185">
        <f>((INDEX('FFA &amp; Spot Rates'!H$23:H$43,MATCH(Hafnia!$E277,'FFA &amp; Spot Rates'!$C$23:$C$43,0))+$H277)*(1-INDEX(X$149:X$152,MATCH(Hafnia!$E277,$D$149:$D$152,0)))+INDEX(X$149:X$152,MATCH(Hafnia!$E277,$D$149:$D$152,0))*INDEX(X$154:X$157,MATCH(Hafnia!$E277,$D$154:$D$157,0)))*$N277</f>
        <v>49578</v>
      </c>
      <c r="Y277" s="185">
        <f t="shared" si="45"/>
        <v>43317.24</v>
      </c>
      <c r="Z277" s="185"/>
      <c r="AA277" s="185"/>
      <c r="AB277" s="185"/>
      <c r="AC277" s="185"/>
      <c r="AD277" s="185"/>
      <c r="AI277" s="21"/>
      <c r="AJ277" s="21"/>
    </row>
    <row r="278" spans="3:36" s="20" customFormat="1" outlineLevel="1" x14ac:dyDescent="0.2">
      <c r="C278" s="157" t="s">
        <v>906</v>
      </c>
      <c r="D278" s="157" t="s">
        <v>990</v>
      </c>
      <c r="E278" s="157" t="s">
        <v>14</v>
      </c>
      <c r="F278" s="158" t="s">
        <v>321</v>
      </c>
      <c r="G278" s="118">
        <v>0</v>
      </c>
      <c r="H278" s="152">
        <f>INDEX(Premiums!$G$27:$G$30,MATCH(Hafnia!E278,Premiums!$E$27:$E$30,0))*G278</f>
        <v>0</v>
      </c>
      <c r="I278" s="186">
        <v>74490</v>
      </c>
      <c r="J278" s="159">
        <v>2010</v>
      </c>
      <c r="K278" s="63">
        <v>2024</v>
      </c>
      <c r="L278" s="56">
        <f t="shared" si="46"/>
        <v>14</v>
      </c>
      <c r="M278" s="1">
        <f t="shared" si="44"/>
        <v>30.239988811188809</v>
      </c>
      <c r="N278" s="184">
        <v>1</v>
      </c>
      <c r="P278" s="4">
        <f>INDEX('Vessel Valuations'!F$34:F$50,MATCH($E278,'Vessel Valuations'!$C$34:$C$50,0))</f>
        <v>1.2463092463092584E-4</v>
      </c>
      <c r="Q278" s="4">
        <f>INDEX('Vessel Valuations'!G$34:G$50,MATCH($E278,'Vessel Valuations'!$C$34:$C$50,0))</f>
        <v>2.8032634032633983E-2</v>
      </c>
      <c r="R278" s="4">
        <f>INDEX('Vessel Valuations'!H$34:H$50,MATCH($E278,'Vessel Valuations'!$C$34:$C$50,0))</f>
        <v>-2.83950271950272</v>
      </c>
      <c r="S278" s="4">
        <f>INDEX('Vessel Valuations'!I$34:I$50,MATCH($E278,'Vessel Valuations'!$C$34:$C$50,0))</f>
        <v>64.156643356643372</v>
      </c>
      <c r="U278" s="217">
        <v>46749</v>
      </c>
      <c r="V278" s="185">
        <f>((INDEX('FFA &amp; Spot Rates'!F$23:F$43,MATCH(Hafnia!$E278,'FFA &amp; Spot Rates'!$C$23:$C$43,0))+$H278)*(1-INDEX(V$149:V$152,MATCH(Hafnia!$E278,$D$149:$D$152,0)))+INDEX(V$149:V$152,MATCH(Hafnia!$E278,$D$149:$D$152,0))*INDEX(V$154:V$157,MATCH(Hafnia!$E278,$D$154:$D$157,0)))*$N278</f>
        <v>43057.96</v>
      </c>
      <c r="W278" s="185">
        <f>((INDEX('FFA &amp; Spot Rates'!G$23:G$43,MATCH(Hafnia!$E278,'FFA &amp; Spot Rates'!$C$23:$C$43,0))+$H278)*(1-INDEX(W$149:W$152,MATCH(Hafnia!$E278,$D$149:$D$152,0)))+INDEX(W$149:W$152,MATCH(Hafnia!$E278,$D$149:$D$152,0))*INDEX(W$154:W$157,MATCH(Hafnia!$E278,$D$154:$D$157,0)))*$N278</f>
        <v>33884</v>
      </c>
      <c r="X278" s="185">
        <f>((INDEX('FFA &amp; Spot Rates'!H$23:H$43,MATCH(Hafnia!$E278,'FFA &amp; Spot Rates'!$C$23:$C$43,0))+$H278)*(1-INDEX(X$149:X$152,MATCH(Hafnia!$E278,$D$149:$D$152,0)))+INDEX(X$149:X$152,MATCH(Hafnia!$E278,$D$149:$D$152,0))*INDEX(X$154:X$157,MATCH(Hafnia!$E278,$D$154:$D$157,0)))*$N278</f>
        <v>49578</v>
      </c>
      <c r="Y278" s="185">
        <f t="shared" si="45"/>
        <v>43317.24</v>
      </c>
      <c r="Z278" s="185"/>
      <c r="AA278" s="185"/>
      <c r="AB278" s="185"/>
      <c r="AC278" s="185"/>
      <c r="AD278" s="185"/>
      <c r="AI278" s="21"/>
      <c r="AJ278" s="21"/>
    </row>
    <row r="279" spans="3:36" s="20" customFormat="1" outlineLevel="1" x14ac:dyDescent="0.2">
      <c r="C279" s="157" t="s">
        <v>991</v>
      </c>
      <c r="D279" s="157" t="s">
        <v>17</v>
      </c>
      <c r="E279" s="157" t="s">
        <v>17</v>
      </c>
      <c r="F279" s="161" t="s">
        <v>992</v>
      </c>
      <c r="G279" s="118">
        <v>1</v>
      </c>
      <c r="H279" s="152">
        <f>INDEX(Premiums!$G$27:$G$30,MATCH(Hafnia!E279,Premiums!$E$27:$E$30,0))*G279</f>
        <v>4027.898630136986</v>
      </c>
      <c r="I279" s="186">
        <v>113958</v>
      </c>
      <c r="J279" s="157">
        <v>2017</v>
      </c>
      <c r="K279" s="63">
        <v>2024</v>
      </c>
      <c r="L279" s="56">
        <f t="shared" si="46"/>
        <v>7</v>
      </c>
      <c r="M279" s="1">
        <f t="shared" si="44"/>
        <v>0</v>
      </c>
      <c r="N279" s="184">
        <v>0</v>
      </c>
      <c r="P279" s="4">
        <f>INDEX('Vessel Valuations'!F$34:F$50,MATCH($E279,'Vessel Valuations'!$C$34:$C$50,0))</f>
        <v>2.6138306138306249E-4</v>
      </c>
      <c r="Q279" s="4">
        <f>INDEX('Vessel Valuations'!G$34:G$50,MATCH($E279,'Vessel Valuations'!$C$34:$C$50,0))</f>
        <v>3.1039627039626976E-2</v>
      </c>
      <c r="R279" s="4">
        <f>INDEX('Vessel Valuations'!H$34:H$50,MATCH($E279,'Vessel Valuations'!$C$34:$C$50,0))</f>
        <v>-3.7243900543900543</v>
      </c>
      <c r="S279" s="4">
        <f>INDEX('Vessel Valuations'!I$34:I$50,MATCH($E279,'Vessel Valuations'!$C$34:$C$50,0))</f>
        <v>86.765034965034999</v>
      </c>
      <c r="U279" s="202"/>
      <c r="V279" s="185"/>
      <c r="Z279" s="185"/>
      <c r="AA279" s="185"/>
      <c r="AB279" s="185"/>
      <c r="AC279" s="185"/>
      <c r="AD279" s="185"/>
      <c r="AI279" s="21"/>
      <c r="AJ279" s="21"/>
    </row>
    <row r="280" spans="3:36" s="20" customFormat="1" outlineLevel="1" x14ac:dyDescent="0.2">
      <c r="C280" s="157" t="s">
        <v>993</v>
      </c>
      <c r="D280" s="157" t="s">
        <v>17</v>
      </c>
      <c r="E280" s="157" t="s">
        <v>17</v>
      </c>
      <c r="F280" s="161" t="s">
        <v>992</v>
      </c>
      <c r="G280" s="118">
        <v>1</v>
      </c>
      <c r="H280" s="152">
        <f>INDEX(Premiums!$G$27:$G$30,MATCH(Hafnia!E280,Premiums!$E$27:$E$30,0))*G280</f>
        <v>4027.898630136986</v>
      </c>
      <c r="I280" s="186">
        <v>113955</v>
      </c>
      <c r="J280" s="157">
        <v>2017</v>
      </c>
      <c r="K280" s="63">
        <v>2024</v>
      </c>
      <c r="L280" s="56">
        <f t="shared" si="46"/>
        <v>7</v>
      </c>
      <c r="M280" s="1">
        <f t="shared" si="44"/>
        <v>0</v>
      </c>
      <c r="N280" s="184">
        <v>0</v>
      </c>
      <c r="P280" s="4">
        <f>INDEX('Vessel Valuations'!F$34:F$50,MATCH($E280,'Vessel Valuations'!$C$34:$C$50,0))</f>
        <v>2.6138306138306249E-4</v>
      </c>
      <c r="Q280" s="4">
        <f>INDEX('Vessel Valuations'!G$34:G$50,MATCH($E280,'Vessel Valuations'!$C$34:$C$50,0))</f>
        <v>3.1039627039626976E-2</v>
      </c>
      <c r="R280" s="4">
        <f>INDEX('Vessel Valuations'!H$34:H$50,MATCH($E280,'Vessel Valuations'!$C$34:$C$50,0))</f>
        <v>-3.7243900543900543</v>
      </c>
      <c r="S280" s="4">
        <f>INDEX('Vessel Valuations'!I$34:I$50,MATCH($E280,'Vessel Valuations'!$C$34:$C$50,0))</f>
        <v>86.765034965034999</v>
      </c>
      <c r="U280" s="202"/>
      <c r="V280" s="185"/>
      <c r="Z280" s="185"/>
      <c r="AA280" s="185"/>
      <c r="AB280" s="185"/>
      <c r="AC280" s="185"/>
      <c r="AD280" s="185"/>
      <c r="AI280" s="21"/>
      <c r="AJ280" s="21"/>
    </row>
    <row r="281" spans="3:36" s="20" customFormat="1" outlineLevel="1" x14ac:dyDescent="0.2">
      <c r="C281" s="157" t="s">
        <v>994</v>
      </c>
      <c r="D281" s="157" t="s">
        <v>17</v>
      </c>
      <c r="E281" s="157" t="s">
        <v>17</v>
      </c>
      <c r="F281" s="161" t="s">
        <v>992</v>
      </c>
      <c r="G281" s="118">
        <v>0</v>
      </c>
      <c r="H281" s="152">
        <f>INDEX(Premiums!$G$27:$G$30,MATCH(Hafnia!E281,Premiums!$E$27:$E$30,0))*G281</f>
        <v>0</v>
      </c>
      <c r="I281" s="186">
        <v>112691</v>
      </c>
      <c r="J281" s="157">
        <v>2014</v>
      </c>
      <c r="K281" s="63">
        <v>2024</v>
      </c>
      <c r="L281" s="56">
        <f t="shared" si="46"/>
        <v>10</v>
      </c>
      <c r="M281" s="1">
        <f t="shared" si="44"/>
        <v>0</v>
      </c>
      <c r="N281" s="184">
        <v>0</v>
      </c>
      <c r="P281" s="4">
        <f>INDEX('Vessel Valuations'!F$34:F$50,MATCH($E281,'Vessel Valuations'!$C$34:$C$50,0))</f>
        <v>2.6138306138306249E-4</v>
      </c>
      <c r="Q281" s="4">
        <f>INDEX('Vessel Valuations'!G$34:G$50,MATCH($E281,'Vessel Valuations'!$C$34:$C$50,0))</f>
        <v>3.1039627039626976E-2</v>
      </c>
      <c r="R281" s="4">
        <f>INDEX('Vessel Valuations'!H$34:H$50,MATCH($E281,'Vessel Valuations'!$C$34:$C$50,0))</f>
        <v>-3.7243900543900543</v>
      </c>
      <c r="S281" s="4">
        <f>INDEX('Vessel Valuations'!I$34:I$50,MATCH($E281,'Vessel Valuations'!$C$34:$C$50,0))</f>
        <v>86.765034965034999</v>
      </c>
      <c r="U281" s="202"/>
      <c r="V281" s="185"/>
      <c r="Z281" s="185"/>
      <c r="AA281" s="185"/>
      <c r="AB281" s="185"/>
      <c r="AC281" s="185"/>
      <c r="AD281" s="185"/>
      <c r="AI281" s="21"/>
      <c r="AJ281" s="21"/>
    </row>
    <row r="282" spans="3:36" s="20" customFormat="1" outlineLevel="1" x14ac:dyDescent="0.2">
      <c r="C282" s="157" t="s">
        <v>995</v>
      </c>
      <c r="D282" s="157" t="s">
        <v>17</v>
      </c>
      <c r="E282" s="157" t="s">
        <v>17</v>
      </c>
      <c r="F282" s="161" t="s">
        <v>992</v>
      </c>
      <c r="G282" s="118">
        <v>0</v>
      </c>
      <c r="H282" s="152">
        <f>INDEX(Premiums!$G$27:$G$30,MATCH(Hafnia!E282,Premiums!$E$27:$E$30,0))*G282</f>
        <v>0</v>
      </c>
      <c r="I282" s="186">
        <v>105258</v>
      </c>
      <c r="J282" s="157">
        <v>2012</v>
      </c>
      <c r="K282" s="63">
        <v>2024</v>
      </c>
      <c r="L282" s="56">
        <f t="shared" si="46"/>
        <v>12</v>
      </c>
      <c r="M282" s="1">
        <f t="shared" si="44"/>
        <v>0</v>
      </c>
      <c r="N282" s="184">
        <v>0</v>
      </c>
      <c r="P282" s="4">
        <f>INDEX('Vessel Valuations'!F$34:F$50,MATCH($E282,'Vessel Valuations'!$C$34:$C$50,0))</f>
        <v>2.6138306138306249E-4</v>
      </c>
      <c r="Q282" s="4">
        <f>INDEX('Vessel Valuations'!G$34:G$50,MATCH($E282,'Vessel Valuations'!$C$34:$C$50,0))</f>
        <v>3.1039627039626976E-2</v>
      </c>
      <c r="R282" s="4">
        <f>INDEX('Vessel Valuations'!H$34:H$50,MATCH($E282,'Vessel Valuations'!$C$34:$C$50,0))</f>
        <v>-3.7243900543900543</v>
      </c>
      <c r="S282" s="4">
        <f>INDEX('Vessel Valuations'!I$34:I$50,MATCH($E282,'Vessel Valuations'!$C$34:$C$50,0))</f>
        <v>86.765034965034999</v>
      </c>
      <c r="U282" s="202"/>
      <c r="V282" s="185"/>
      <c r="Z282" s="185"/>
      <c r="AA282" s="185"/>
      <c r="AB282" s="185"/>
      <c r="AC282" s="185"/>
      <c r="AD282" s="185"/>
      <c r="AI282" s="21"/>
      <c r="AJ282" s="21"/>
    </row>
    <row r="283" spans="3:36" s="20" customFormat="1" outlineLevel="1" x14ac:dyDescent="0.2">
      <c r="C283" s="157" t="s">
        <v>996</v>
      </c>
      <c r="D283" s="157" t="s">
        <v>14</v>
      </c>
      <c r="E283" s="157" t="s">
        <v>14</v>
      </c>
      <c r="F283" s="161" t="s">
        <v>992</v>
      </c>
      <c r="G283" s="118">
        <v>0</v>
      </c>
      <c r="H283" s="152">
        <f>INDEX(Premiums!$G$27:$G$30,MATCH(Hafnia!E283,Premiums!$E$27:$E$30,0))*G283</f>
        <v>0</v>
      </c>
      <c r="I283" s="186">
        <v>74998</v>
      </c>
      <c r="J283" s="157">
        <v>2008</v>
      </c>
      <c r="K283" s="63">
        <v>2024</v>
      </c>
      <c r="L283" s="56">
        <f t="shared" si="46"/>
        <v>16</v>
      </c>
      <c r="M283" s="1">
        <f t="shared" si="44"/>
        <v>0</v>
      </c>
      <c r="N283" s="184">
        <v>0</v>
      </c>
      <c r="P283" s="4">
        <f>INDEX('Vessel Valuations'!F$34:F$50,MATCH($E283,'Vessel Valuations'!$C$34:$C$50,0))</f>
        <v>1.2463092463092584E-4</v>
      </c>
      <c r="Q283" s="4">
        <f>INDEX('Vessel Valuations'!G$34:G$50,MATCH($E283,'Vessel Valuations'!$C$34:$C$50,0))</f>
        <v>2.8032634032633983E-2</v>
      </c>
      <c r="R283" s="4">
        <f>INDEX('Vessel Valuations'!H$34:H$50,MATCH($E283,'Vessel Valuations'!$C$34:$C$50,0))</f>
        <v>-2.83950271950272</v>
      </c>
      <c r="S283" s="4">
        <f>INDEX('Vessel Valuations'!I$34:I$50,MATCH($E283,'Vessel Valuations'!$C$34:$C$50,0))</f>
        <v>64.156643356643372</v>
      </c>
      <c r="U283" s="202"/>
      <c r="V283" s="185"/>
      <c r="Z283" s="185"/>
      <c r="AA283" s="185"/>
      <c r="AB283" s="185"/>
      <c r="AC283" s="185"/>
      <c r="AD283" s="185"/>
      <c r="AI283" s="21"/>
      <c r="AJ283" s="21"/>
    </row>
    <row r="284" spans="3:36" s="20" customFormat="1" outlineLevel="1" x14ac:dyDescent="0.2">
      <c r="C284" s="157" t="s">
        <v>997</v>
      </c>
      <c r="D284" s="157" t="s">
        <v>14</v>
      </c>
      <c r="E284" s="157" t="s">
        <v>14</v>
      </c>
      <c r="F284" s="161" t="s">
        <v>992</v>
      </c>
      <c r="G284" s="118">
        <v>0</v>
      </c>
      <c r="H284" s="152">
        <f>INDEX(Premiums!$G$27:$G$30,MATCH(Hafnia!E284,Premiums!$E$27:$E$30,0))*G284</f>
        <v>0</v>
      </c>
      <c r="I284" s="186">
        <v>74998</v>
      </c>
      <c r="J284" s="157">
        <v>2007</v>
      </c>
      <c r="K284" s="63">
        <v>2024</v>
      </c>
      <c r="L284" s="56">
        <f t="shared" si="46"/>
        <v>17</v>
      </c>
      <c r="M284" s="1">
        <f t="shared" si="44"/>
        <v>0</v>
      </c>
      <c r="N284" s="184">
        <v>0</v>
      </c>
      <c r="P284" s="4">
        <f>INDEX('Vessel Valuations'!F$34:F$50,MATCH($E284,'Vessel Valuations'!$C$34:$C$50,0))</f>
        <v>1.2463092463092584E-4</v>
      </c>
      <c r="Q284" s="4">
        <f>INDEX('Vessel Valuations'!G$34:G$50,MATCH($E284,'Vessel Valuations'!$C$34:$C$50,0))</f>
        <v>2.8032634032633983E-2</v>
      </c>
      <c r="R284" s="4">
        <f>INDEX('Vessel Valuations'!H$34:H$50,MATCH($E284,'Vessel Valuations'!$C$34:$C$50,0))</f>
        <v>-2.83950271950272</v>
      </c>
      <c r="S284" s="4">
        <f>INDEX('Vessel Valuations'!I$34:I$50,MATCH($E284,'Vessel Valuations'!$C$34:$C$50,0))</f>
        <v>64.156643356643372</v>
      </c>
      <c r="U284" s="202"/>
      <c r="V284" s="185"/>
      <c r="Z284" s="185"/>
      <c r="AA284" s="185"/>
      <c r="AB284" s="185"/>
      <c r="AC284" s="185"/>
      <c r="AD284" s="185"/>
      <c r="AI284" s="21"/>
      <c r="AJ284" s="21"/>
    </row>
    <row r="285" spans="3:36" s="20" customFormat="1" outlineLevel="1" x14ac:dyDescent="0.2">
      <c r="C285" s="157" t="s">
        <v>998</v>
      </c>
      <c r="D285" s="157" t="s">
        <v>14</v>
      </c>
      <c r="E285" s="157" t="s">
        <v>14</v>
      </c>
      <c r="F285" s="161" t="s">
        <v>992</v>
      </c>
      <c r="G285" s="118">
        <v>0</v>
      </c>
      <c r="H285" s="152">
        <f>INDEX(Premiums!$G$27:$G$30,MATCH(Hafnia!E285,Premiums!$E$27:$E$30,0))*G285</f>
        <v>0</v>
      </c>
      <c r="I285" s="186">
        <v>74996</v>
      </c>
      <c r="J285" s="157">
        <v>2008</v>
      </c>
      <c r="K285" s="63">
        <v>2024</v>
      </c>
      <c r="L285" s="56">
        <f t="shared" si="46"/>
        <v>16</v>
      </c>
      <c r="M285" s="1">
        <f t="shared" si="44"/>
        <v>0</v>
      </c>
      <c r="N285" s="184">
        <v>0</v>
      </c>
      <c r="P285" s="4">
        <f>INDEX('Vessel Valuations'!F$34:F$50,MATCH($E285,'Vessel Valuations'!$C$34:$C$50,0))</f>
        <v>1.2463092463092584E-4</v>
      </c>
      <c r="Q285" s="4">
        <f>INDEX('Vessel Valuations'!G$34:G$50,MATCH($E285,'Vessel Valuations'!$C$34:$C$50,0))</f>
        <v>2.8032634032633983E-2</v>
      </c>
      <c r="R285" s="4">
        <f>INDEX('Vessel Valuations'!H$34:H$50,MATCH($E285,'Vessel Valuations'!$C$34:$C$50,0))</f>
        <v>-2.83950271950272</v>
      </c>
      <c r="S285" s="4">
        <f>INDEX('Vessel Valuations'!I$34:I$50,MATCH($E285,'Vessel Valuations'!$C$34:$C$50,0))</f>
        <v>64.156643356643372</v>
      </c>
      <c r="U285" s="202"/>
      <c r="V285" s="185"/>
      <c r="Z285" s="185"/>
      <c r="AA285" s="185"/>
      <c r="AB285" s="185"/>
      <c r="AC285" s="185"/>
      <c r="AD285" s="185"/>
      <c r="AI285" s="21"/>
      <c r="AJ285" s="21"/>
    </row>
    <row r="286" spans="3:36" s="20" customFormat="1" outlineLevel="1" x14ac:dyDescent="0.2">
      <c r="C286" s="157" t="s">
        <v>999</v>
      </c>
      <c r="D286" s="157" t="s">
        <v>14</v>
      </c>
      <c r="E286" s="157" t="s">
        <v>14</v>
      </c>
      <c r="F286" s="161" t="s">
        <v>992</v>
      </c>
      <c r="G286" s="118">
        <v>0</v>
      </c>
      <c r="H286" s="152">
        <f>INDEX(Premiums!$G$27:$G$30,MATCH(Hafnia!E286,Premiums!$E$27:$E$30,0))*G286</f>
        <v>0</v>
      </c>
      <c r="I286" s="186">
        <v>74859</v>
      </c>
      <c r="J286" s="157">
        <v>2009</v>
      </c>
      <c r="K286" s="63">
        <v>2024</v>
      </c>
      <c r="L286" s="56">
        <f t="shared" si="46"/>
        <v>15</v>
      </c>
      <c r="M286" s="1">
        <f t="shared" si="44"/>
        <v>0</v>
      </c>
      <c r="N286" s="184">
        <v>0</v>
      </c>
      <c r="P286" s="4">
        <f>INDEX('Vessel Valuations'!F$34:F$50,MATCH($E286,'Vessel Valuations'!$C$34:$C$50,0))</f>
        <v>1.2463092463092584E-4</v>
      </c>
      <c r="Q286" s="4">
        <f>INDEX('Vessel Valuations'!G$34:G$50,MATCH($E286,'Vessel Valuations'!$C$34:$C$50,0))</f>
        <v>2.8032634032633983E-2</v>
      </c>
      <c r="R286" s="4">
        <f>INDEX('Vessel Valuations'!H$34:H$50,MATCH($E286,'Vessel Valuations'!$C$34:$C$50,0))</f>
        <v>-2.83950271950272</v>
      </c>
      <c r="S286" s="4">
        <f>INDEX('Vessel Valuations'!I$34:I$50,MATCH($E286,'Vessel Valuations'!$C$34:$C$50,0))</f>
        <v>64.156643356643372</v>
      </c>
      <c r="U286" s="202"/>
      <c r="V286" s="185"/>
      <c r="Z286" s="185"/>
      <c r="AA286" s="185"/>
      <c r="AB286" s="185"/>
      <c r="AC286" s="185"/>
      <c r="AD286" s="185"/>
      <c r="AI286" s="21"/>
      <c r="AJ286" s="21"/>
    </row>
    <row r="287" spans="3:36" s="20" customFormat="1" outlineLevel="1" x14ac:dyDescent="0.2">
      <c r="C287" s="157" t="s">
        <v>1000</v>
      </c>
      <c r="D287" s="157" t="s">
        <v>14</v>
      </c>
      <c r="E287" s="157" t="s">
        <v>14</v>
      </c>
      <c r="F287" s="161" t="s">
        <v>992</v>
      </c>
      <c r="G287" s="118">
        <v>1</v>
      </c>
      <c r="H287" s="152">
        <f>INDEX(Premiums!$G$27:$G$30,MATCH(Hafnia!E287,Premiums!$E$27:$E$30,0))*G287</f>
        <v>2276.6383561643834</v>
      </c>
      <c r="I287" s="186">
        <v>74074</v>
      </c>
      <c r="J287" s="157">
        <v>2016</v>
      </c>
      <c r="K287" s="63">
        <v>2024</v>
      </c>
      <c r="L287" s="56">
        <f t="shared" si="46"/>
        <v>8</v>
      </c>
      <c r="M287" s="1">
        <f t="shared" si="44"/>
        <v>0</v>
      </c>
      <c r="N287" s="184">
        <v>0</v>
      </c>
      <c r="P287" s="4">
        <f>INDEX('Vessel Valuations'!F$34:F$50,MATCH($E287,'Vessel Valuations'!$C$34:$C$50,0))</f>
        <v>1.2463092463092584E-4</v>
      </c>
      <c r="Q287" s="4">
        <f>INDEX('Vessel Valuations'!G$34:G$50,MATCH($E287,'Vessel Valuations'!$C$34:$C$50,0))</f>
        <v>2.8032634032633983E-2</v>
      </c>
      <c r="R287" s="4">
        <f>INDEX('Vessel Valuations'!H$34:H$50,MATCH($E287,'Vessel Valuations'!$C$34:$C$50,0))</f>
        <v>-2.83950271950272</v>
      </c>
      <c r="S287" s="4">
        <f>INDEX('Vessel Valuations'!I$34:I$50,MATCH($E287,'Vessel Valuations'!$C$34:$C$50,0))</f>
        <v>64.156643356643372</v>
      </c>
      <c r="U287" s="202"/>
      <c r="V287" s="185"/>
      <c r="Z287" s="185"/>
      <c r="AA287" s="185"/>
      <c r="AB287" s="185"/>
      <c r="AC287" s="185"/>
      <c r="AD287" s="185"/>
      <c r="AI287" s="21"/>
      <c r="AJ287" s="21"/>
    </row>
    <row r="288" spans="3:36" s="20" customFormat="1" outlineLevel="1" x14ac:dyDescent="0.2">
      <c r="C288" s="157" t="s">
        <v>1001</v>
      </c>
      <c r="D288" s="157" t="s">
        <v>14</v>
      </c>
      <c r="E288" s="157" t="s">
        <v>14</v>
      </c>
      <c r="F288" s="161" t="s">
        <v>992</v>
      </c>
      <c r="G288" s="118">
        <v>1</v>
      </c>
      <c r="H288" s="152">
        <f>INDEX(Premiums!$G$27:$G$30,MATCH(Hafnia!E288,Premiums!$E$27:$E$30,0))*G288</f>
        <v>2276.6383561643834</v>
      </c>
      <c r="I288" s="186">
        <v>74032</v>
      </c>
      <c r="J288" s="157">
        <v>2016</v>
      </c>
      <c r="K288" s="63">
        <v>2024</v>
      </c>
      <c r="L288" s="56">
        <f t="shared" ref="L288:L300" si="47">+(K288-J288)</f>
        <v>8</v>
      </c>
      <c r="M288" s="1">
        <f t="shared" si="44"/>
        <v>0</v>
      </c>
      <c r="N288" s="184">
        <v>0</v>
      </c>
      <c r="P288" s="4">
        <f>INDEX('Vessel Valuations'!F$34:F$50,MATCH($E288,'Vessel Valuations'!$C$34:$C$50,0))</f>
        <v>1.2463092463092584E-4</v>
      </c>
      <c r="Q288" s="4">
        <f>INDEX('Vessel Valuations'!G$34:G$50,MATCH($E288,'Vessel Valuations'!$C$34:$C$50,0))</f>
        <v>2.8032634032633983E-2</v>
      </c>
      <c r="R288" s="4">
        <f>INDEX('Vessel Valuations'!H$34:H$50,MATCH($E288,'Vessel Valuations'!$C$34:$C$50,0))</f>
        <v>-2.83950271950272</v>
      </c>
      <c r="S288" s="4">
        <f>INDEX('Vessel Valuations'!I$34:I$50,MATCH($E288,'Vessel Valuations'!$C$34:$C$50,0))</f>
        <v>64.156643356643372</v>
      </c>
      <c r="U288" s="202"/>
      <c r="V288" s="185"/>
      <c r="Z288" s="185"/>
      <c r="AA288" s="185"/>
      <c r="AB288" s="185"/>
      <c r="AC288" s="185"/>
      <c r="AD288" s="185"/>
      <c r="AI288" s="21"/>
      <c r="AJ288" s="21"/>
    </row>
    <row r="289" spans="3:36" s="20" customFormat="1" outlineLevel="1" x14ac:dyDescent="0.2">
      <c r="C289" s="157" t="s">
        <v>1002</v>
      </c>
      <c r="D289" s="157" t="s">
        <v>14</v>
      </c>
      <c r="E289" s="157" t="s">
        <v>14</v>
      </c>
      <c r="F289" s="161" t="s">
        <v>992</v>
      </c>
      <c r="G289" s="118">
        <v>0</v>
      </c>
      <c r="H289" s="152">
        <f>INDEX(Premiums!$G$27:$G$30,MATCH(Hafnia!E289,Premiums!$E$27:$E$30,0))*G289</f>
        <v>0</v>
      </c>
      <c r="I289" s="186">
        <v>73991</v>
      </c>
      <c r="J289" s="157">
        <v>2005</v>
      </c>
      <c r="K289" s="63">
        <v>2024</v>
      </c>
      <c r="L289" s="56">
        <f t="shared" si="47"/>
        <v>19</v>
      </c>
      <c r="M289" s="1">
        <f t="shared" ref="M289:M352" si="48">(P289*L289^3+Q289*L289^2+R289*L289+S289)*N289</f>
        <v>0</v>
      </c>
      <c r="N289" s="184">
        <v>0</v>
      </c>
      <c r="P289" s="4">
        <f>INDEX('Vessel Valuations'!F$34:F$50,MATCH($E289,'Vessel Valuations'!$C$34:$C$50,0))</f>
        <v>1.2463092463092584E-4</v>
      </c>
      <c r="Q289" s="4">
        <f>INDEX('Vessel Valuations'!G$34:G$50,MATCH($E289,'Vessel Valuations'!$C$34:$C$50,0))</f>
        <v>2.8032634032633983E-2</v>
      </c>
      <c r="R289" s="4">
        <f>INDEX('Vessel Valuations'!H$34:H$50,MATCH($E289,'Vessel Valuations'!$C$34:$C$50,0))</f>
        <v>-2.83950271950272</v>
      </c>
      <c r="S289" s="4">
        <f>INDEX('Vessel Valuations'!I$34:I$50,MATCH($E289,'Vessel Valuations'!$C$34:$C$50,0))</f>
        <v>64.156643356643372</v>
      </c>
      <c r="U289" s="202"/>
      <c r="V289" s="185"/>
      <c r="Z289" s="185"/>
      <c r="AA289" s="185"/>
      <c r="AB289" s="185"/>
      <c r="AC289" s="185"/>
      <c r="AD289" s="185"/>
      <c r="AI289" s="21"/>
      <c r="AJ289" s="21"/>
    </row>
    <row r="290" spans="3:36" s="20" customFormat="1" outlineLevel="1" x14ac:dyDescent="0.2">
      <c r="C290" s="157" t="s">
        <v>1003</v>
      </c>
      <c r="D290" s="157" t="s">
        <v>14</v>
      </c>
      <c r="E290" s="157" t="s">
        <v>14</v>
      </c>
      <c r="F290" s="161" t="s">
        <v>992</v>
      </c>
      <c r="G290" s="118">
        <v>0</v>
      </c>
      <c r="H290" s="152">
        <f>INDEX(Premiums!$G$27:$G$30,MATCH(Hafnia!E290,Premiums!$E$27:$E$30,0))*G290</f>
        <v>0</v>
      </c>
      <c r="I290" s="186">
        <v>73965</v>
      </c>
      <c r="J290" s="157">
        <v>2008</v>
      </c>
      <c r="K290" s="63">
        <v>2024</v>
      </c>
      <c r="L290" s="56">
        <f t="shared" si="47"/>
        <v>16</v>
      </c>
      <c r="M290" s="1">
        <f t="shared" si="48"/>
        <v>0</v>
      </c>
      <c r="N290" s="184">
        <v>0</v>
      </c>
      <c r="P290" s="4">
        <f>INDEX('Vessel Valuations'!F$34:F$50,MATCH($E290,'Vessel Valuations'!$C$34:$C$50,0))</f>
        <v>1.2463092463092584E-4</v>
      </c>
      <c r="Q290" s="4">
        <f>INDEX('Vessel Valuations'!G$34:G$50,MATCH($E290,'Vessel Valuations'!$C$34:$C$50,0))</f>
        <v>2.8032634032633983E-2</v>
      </c>
      <c r="R290" s="4">
        <f>INDEX('Vessel Valuations'!H$34:H$50,MATCH($E290,'Vessel Valuations'!$C$34:$C$50,0))</f>
        <v>-2.83950271950272</v>
      </c>
      <c r="S290" s="4">
        <f>INDEX('Vessel Valuations'!I$34:I$50,MATCH($E290,'Vessel Valuations'!$C$34:$C$50,0))</f>
        <v>64.156643356643372</v>
      </c>
      <c r="U290" s="202"/>
      <c r="V290" s="185"/>
      <c r="Z290" s="185"/>
      <c r="AA290" s="185"/>
      <c r="AB290" s="185"/>
      <c r="AC290" s="185"/>
      <c r="AD290" s="185"/>
      <c r="AI290" s="21"/>
      <c r="AJ290" s="21"/>
    </row>
    <row r="291" spans="3:36" s="20" customFormat="1" outlineLevel="1" x14ac:dyDescent="0.2">
      <c r="C291" s="157" t="s">
        <v>1004</v>
      </c>
      <c r="D291" s="157" t="s">
        <v>14</v>
      </c>
      <c r="E291" s="157" t="s">
        <v>14</v>
      </c>
      <c r="F291" s="161" t="s">
        <v>992</v>
      </c>
      <c r="G291" s="118">
        <v>0</v>
      </c>
      <c r="H291" s="152">
        <f>INDEX(Premiums!$G$27:$G$30,MATCH(Hafnia!E291,Premiums!$E$27:$E$30,0))*G291</f>
        <v>0</v>
      </c>
      <c r="I291" s="186">
        <v>73896</v>
      </c>
      <c r="J291" s="157">
        <v>2005</v>
      </c>
      <c r="K291" s="63">
        <v>2024</v>
      </c>
      <c r="L291" s="56">
        <f t="shared" si="47"/>
        <v>19</v>
      </c>
      <c r="M291" s="1">
        <f t="shared" si="48"/>
        <v>0</v>
      </c>
      <c r="N291" s="184">
        <v>0</v>
      </c>
      <c r="P291" s="4">
        <f>INDEX('Vessel Valuations'!F$34:F$50,MATCH($E291,'Vessel Valuations'!$C$34:$C$50,0))</f>
        <v>1.2463092463092584E-4</v>
      </c>
      <c r="Q291" s="4">
        <f>INDEX('Vessel Valuations'!G$34:G$50,MATCH($E291,'Vessel Valuations'!$C$34:$C$50,0))</f>
        <v>2.8032634032633983E-2</v>
      </c>
      <c r="R291" s="4">
        <f>INDEX('Vessel Valuations'!H$34:H$50,MATCH($E291,'Vessel Valuations'!$C$34:$C$50,0))</f>
        <v>-2.83950271950272</v>
      </c>
      <c r="S291" s="4">
        <f>INDEX('Vessel Valuations'!I$34:I$50,MATCH($E291,'Vessel Valuations'!$C$34:$C$50,0))</f>
        <v>64.156643356643372</v>
      </c>
      <c r="U291" s="202"/>
      <c r="V291" s="185"/>
      <c r="Z291" s="185"/>
      <c r="AA291" s="185"/>
      <c r="AB291" s="185"/>
      <c r="AC291" s="185"/>
      <c r="AD291" s="185"/>
      <c r="AI291" s="21"/>
      <c r="AJ291" s="21"/>
    </row>
    <row r="292" spans="3:36" s="20" customFormat="1" outlineLevel="1" x14ac:dyDescent="0.2">
      <c r="C292" s="157" t="s">
        <v>1005</v>
      </c>
      <c r="D292" s="157" t="s">
        <v>14</v>
      </c>
      <c r="E292" s="157" t="s">
        <v>14</v>
      </c>
      <c r="F292" s="161" t="s">
        <v>992</v>
      </c>
      <c r="G292" s="118">
        <v>0</v>
      </c>
      <c r="H292" s="152">
        <f>INDEX(Premiums!$G$27:$G$30,MATCH(Hafnia!E292,Premiums!$E$27:$E$30,0))*G292</f>
        <v>0</v>
      </c>
      <c r="I292" s="186">
        <v>73711</v>
      </c>
      <c r="J292" s="157">
        <v>2007</v>
      </c>
      <c r="K292" s="63">
        <v>2024</v>
      </c>
      <c r="L292" s="56">
        <f t="shared" si="47"/>
        <v>17</v>
      </c>
      <c r="M292" s="1">
        <f t="shared" si="48"/>
        <v>0</v>
      </c>
      <c r="N292" s="184">
        <v>0</v>
      </c>
      <c r="P292" s="4">
        <f>INDEX('Vessel Valuations'!F$34:F$50,MATCH($E292,'Vessel Valuations'!$C$34:$C$50,0))</f>
        <v>1.2463092463092584E-4</v>
      </c>
      <c r="Q292" s="4">
        <f>INDEX('Vessel Valuations'!G$34:G$50,MATCH($E292,'Vessel Valuations'!$C$34:$C$50,0))</f>
        <v>2.8032634032633983E-2</v>
      </c>
      <c r="R292" s="4">
        <f>INDEX('Vessel Valuations'!H$34:H$50,MATCH($E292,'Vessel Valuations'!$C$34:$C$50,0))</f>
        <v>-2.83950271950272</v>
      </c>
      <c r="S292" s="4">
        <f>INDEX('Vessel Valuations'!I$34:I$50,MATCH($E292,'Vessel Valuations'!$C$34:$C$50,0))</f>
        <v>64.156643356643372</v>
      </c>
      <c r="U292" s="202"/>
      <c r="V292" s="185"/>
      <c r="Z292" s="185"/>
      <c r="AA292" s="185"/>
      <c r="AB292" s="185"/>
      <c r="AC292" s="185"/>
      <c r="AD292" s="185"/>
      <c r="AI292" s="21"/>
      <c r="AJ292" s="21"/>
    </row>
    <row r="293" spans="3:36" s="20" customFormat="1" outlineLevel="1" x14ac:dyDescent="0.2">
      <c r="C293" s="157" t="s">
        <v>1006</v>
      </c>
      <c r="D293" s="157" t="s">
        <v>14</v>
      </c>
      <c r="E293" s="157" t="s">
        <v>14</v>
      </c>
      <c r="F293" s="161" t="s">
        <v>992</v>
      </c>
      <c r="G293" s="118">
        <v>0</v>
      </c>
      <c r="H293" s="152">
        <f>INDEX(Premiums!$G$27:$G$30,MATCH(Hafnia!E293,Premiums!$E$27:$E$30,0))*G293</f>
        <v>0</v>
      </c>
      <c r="I293" s="186">
        <v>73394</v>
      </c>
      <c r="J293" s="157">
        <v>2009</v>
      </c>
      <c r="K293" s="63">
        <v>2024</v>
      </c>
      <c r="L293" s="56">
        <f t="shared" si="47"/>
        <v>15</v>
      </c>
      <c r="M293" s="1">
        <f t="shared" si="48"/>
        <v>0</v>
      </c>
      <c r="N293" s="184">
        <v>0</v>
      </c>
      <c r="P293" s="4">
        <f>INDEX('Vessel Valuations'!F$34:F$50,MATCH($E293,'Vessel Valuations'!$C$34:$C$50,0))</f>
        <v>1.2463092463092584E-4</v>
      </c>
      <c r="Q293" s="4">
        <f>INDEX('Vessel Valuations'!G$34:G$50,MATCH($E293,'Vessel Valuations'!$C$34:$C$50,0))</f>
        <v>2.8032634032633983E-2</v>
      </c>
      <c r="R293" s="4">
        <f>INDEX('Vessel Valuations'!H$34:H$50,MATCH($E293,'Vessel Valuations'!$C$34:$C$50,0))</f>
        <v>-2.83950271950272</v>
      </c>
      <c r="S293" s="4">
        <f>INDEX('Vessel Valuations'!I$34:I$50,MATCH($E293,'Vessel Valuations'!$C$34:$C$50,0))</f>
        <v>64.156643356643372</v>
      </c>
      <c r="U293" s="202"/>
      <c r="V293" s="185"/>
      <c r="Z293" s="185"/>
      <c r="AA293" s="185"/>
      <c r="AB293" s="185"/>
      <c r="AC293" s="185"/>
      <c r="AD293" s="185"/>
      <c r="AI293" s="21"/>
      <c r="AJ293" s="21"/>
    </row>
    <row r="294" spans="3:36" s="20" customFormat="1" outlineLevel="1" x14ac:dyDescent="0.2">
      <c r="C294" s="157" t="s">
        <v>1007</v>
      </c>
      <c r="D294" s="157" t="s">
        <v>15</v>
      </c>
      <c r="E294" s="157" t="s">
        <v>15</v>
      </c>
      <c r="F294" s="161" t="s">
        <v>992</v>
      </c>
      <c r="G294" s="118">
        <v>0</v>
      </c>
      <c r="H294" s="152">
        <f>INDEX(Premiums!$G$27:$G$30,MATCH(Hafnia!E294,Premiums!$E$27:$E$30,0))*G294</f>
        <v>0</v>
      </c>
      <c r="I294" s="186">
        <v>53755</v>
      </c>
      <c r="J294" s="157">
        <v>2007</v>
      </c>
      <c r="K294" s="63">
        <v>2024</v>
      </c>
      <c r="L294" s="56">
        <f t="shared" si="47"/>
        <v>17</v>
      </c>
      <c r="M294" s="1">
        <f t="shared" si="48"/>
        <v>0</v>
      </c>
      <c r="N294" s="184">
        <v>0</v>
      </c>
      <c r="P294" s="4">
        <f>INDEX('Vessel Valuations'!F$34:F$50,MATCH($E294,'Vessel Valuations'!$C$34:$C$50,0))</f>
        <v>7.8477078477077959E-5</v>
      </c>
      <c r="Q294" s="4">
        <f>INDEX('Vessel Valuations'!G$34:G$50,MATCH($E294,'Vessel Valuations'!$C$34:$C$50,0))</f>
        <v>2.6864801864801918E-2</v>
      </c>
      <c r="R294" s="4">
        <f>INDEX('Vessel Valuations'!H$34:H$50,MATCH($E294,'Vessel Valuations'!$C$34:$C$50,0))</f>
        <v>-2.5062160062160075</v>
      </c>
      <c r="S294" s="4">
        <f>INDEX('Vessel Valuations'!I$34:I$50,MATCH($E294,'Vessel Valuations'!$C$34:$C$50,0))</f>
        <v>55.67832167832168</v>
      </c>
      <c r="U294" s="202"/>
      <c r="V294" s="185"/>
      <c r="Z294" s="185"/>
      <c r="AA294" s="185"/>
      <c r="AB294" s="185"/>
      <c r="AC294" s="185"/>
      <c r="AD294" s="185"/>
      <c r="AI294" s="21"/>
      <c r="AJ294" s="21"/>
    </row>
    <row r="295" spans="3:36" s="20" customFormat="1" outlineLevel="1" x14ac:dyDescent="0.2">
      <c r="C295" s="157" t="s">
        <v>1008</v>
      </c>
      <c r="D295" s="157" t="s">
        <v>15</v>
      </c>
      <c r="E295" s="157" t="s">
        <v>15</v>
      </c>
      <c r="F295" s="161" t="s">
        <v>992</v>
      </c>
      <c r="G295" s="118">
        <v>0</v>
      </c>
      <c r="H295" s="152">
        <f>INDEX(Premiums!$G$27:$G$30,MATCH(Hafnia!E295,Premiums!$E$27:$E$30,0))*G295</f>
        <v>0</v>
      </c>
      <c r="I295" s="186">
        <v>53688</v>
      </c>
      <c r="J295" s="157">
        <v>2006</v>
      </c>
      <c r="K295" s="63">
        <v>2024</v>
      </c>
      <c r="L295" s="56">
        <f t="shared" si="47"/>
        <v>18</v>
      </c>
      <c r="M295" s="1">
        <f t="shared" si="48"/>
        <v>0</v>
      </c>
      <c r="N295" s="184">
        <v>0</v>
      </c>
      <c r="P295" s="4">
        <f>INDEX('Vessel Valuations'!F$34:F$50,MATCH($E295,'Vessel Valuations'!$C$34:$C$50,0))</f>
        <v>7.8477078477077959E-5</v>
      </c>
      <c r="Q295" s="4">
        <f>INDEX('Vessel Valuations'!G$34:G$50,MATCH($E295,'Vessel Valuations'!$C$34:$C$50,0))</f>
        <v>2.6864801864801918E-2</v>
      </c>
      <c r="R295" s="4">
        <f>INDEX('Vessel Valuations'!H$34:H$50,MATCH($E295,'Vessel Valuations'!$C$34:$C$50,0))</f>
        <v>-2.5062160062160075</v>
      </c>
      <c r="S295" s="4">
        <f>INDEX('Vessel Valuations'!I$34:I$50,MATCH($E295,'Vessel Valuations'!$C$34:$C$50,0))</f>
        <v>55.67832167832168</v>
      </c>
      <c r="U295" s="202"/>
      <c r="V295" s="185"/>
      <c r="Z295" s="185"/>
      <c r="AA295" s="185"/>
      <c r="AB295" s="185"/>
      <c r="AC295" s="185"/>
      <c r="AD295" s="185"/>
      <c r="AI295" s="21"/>
      <c r="AJ295" s="21"/>
    </row>
    <row r="296" spans="3:36" s="20" customFormat="1" outlineLevel="1" x14ac:dyDescent="0.2">
      <c r="C296" s="157" t="s">
        <v>1009</v>
      </c>
      <c r="D296" s="157" t="s">
        <v>15</v>
      </c>
      <c r="E296" s="157" t="s">
        <v>15</v>
      </c>
      <c r="F296" s="161" t="s">
        <v>992</v>
      </c>
      <c r="G296" s="118">
        <v>1</v>
      </c>
      <c r="H296" s="152">
        <f>INDEX(Premiums!$G$27:$G$30,MATCH(Hafnia!E296,Premiums!$E$27:$E$30,0))*G296</f>
        <v>1313.4452054794519</v>
      </c>
      <c r="I296" s="186">
        <v>49999</v>
      </c>
      <c r="J296" s="157">
        <v>2023</v>
      </c>
      <c r="K296" s="63">
        <v>2024</v>
      </c>
      <c r="L296" s="56">
        <f t="shared" si="47"/>
        <v>1</v>
      </c>
      <c r="M296" s="1">
        <f t="shared" si="48"/>
        <v>0</v>
      </c>
      <c r="N296" s="184">
        <v>0</v>
      </c>
      <c r="P296" s="4">
        <f>INDEX('Vessel Valuations'!F$34:F$50,MATCH($E296,'Vessel Valuations'!$C$34:$C$50,0))</f>
        <v>7.8477078477077959E-5</v>
      </c>
      <c r="Q296" s="4">
        <f>INDEX('Vessel Valuations'!G$34:G$50,MATCH($E296,'Vessel Valuations'!$C$34:$C$50,0))</f>
        <v>2.6864801864801918E-2</v>
      </c>
      <c r="R296" s="4">
        <f>INDEX('Vessel Valuations'!H$34:H$50,MATCH($E296,'Vessel Valuations'!$C$34:$C$50,0))</f>
        <v>-2.5062160062160075</v>
      </c>
      <c r="S296" s="4">
        <f>INDEX('Vessel Valuations'!I$34:I$50,MATCH($E296,'Vessel Valuations'!$C$34:$C$50,0))</f>
        <v>55.67832167832168</v>
      </c>
      <c r="U296" s="202"/>
      <c r="V296" s="185"/>
      <c r="Z296" s="185"/>
      <c r="AA296" s="185"/>
      <c r="AB296" s="185"/>
      <c r="AC296" s="185"/>
      <c r="AD296" s="185"/>
      <c r="AI296" s="21"/>
      <c r="AJ296" s="21"/>
    </row>
    <row r="297" spans="3:36" s="20" customFormat="1" outlineLevel="1" x14ac:dyDescent="0.2">
      <c r="C297" s="157" t="s">
        <v>1010</v>
      </c>
      <c r="D297" s="157" t="s">
        <v>15</v>
      </c>
      <c r="E297" s="157" t="s">
        <v>15</v>
      </c>
      <c r="F297" s="161" t="s">
        <v>992</v>
      </c>
      <c r="G297" s="118">
        <v>1</v>
      </c>
      <c r="H297" s="152">
        <f>INDEX(Premiums!$G$27:$G$30,MATCH(Hafnia!E297,Premiums!$E$27:$E$30,0))*G297</f>
        <v>1313.4452054794519</v>
      </c>
      <c r="I297" s="186">
        <v>49999</v>
      </c>
      <c r="J297" s="157">
        <v>2019</v>
      </c>
      <c r="K297" s="63">
        <v>2024</v>
      </c>
      <c r="L297" s="56">
        <f t="shared" si="47"/>
        <v>5</v>
      </c>
      <c r="M297" s="1">
        <f t="shared" si="48"/>
        <v>0</v>
      </c>
      <c r="N297" s="184">
        <v>0</v>
      </c>
      <c r="P297" s="4">
        <f>INDEX('Vessel Valuations'!F$34:F$50,MATCH($E297,'Vessel Valuations'!$C$34:$C$50,0))</f>
        <v>7.8477078477077959E-5</v>
      </c>
      <c r="Q297" s="4">
        <f>INDEX('Vessel Valuations'!G$34:G$50,MATCH($E297,'Vessel Valuations'!$C$34:$C$50,0))</f>
        <v>2.6864801864801918E-2</v>
      </c>
      <c r="R297" s="4">
        <f>INDEX('Vessel Valuations'!H$34:H$50,MATCH($E297,'Vessel Valuations'!$C$34:$C$50,0))</f>
        <v>-2.5062160062160075</v>
      </c>
      <c r="S297" s="4">
        <f>INDEX('Vessel Valuations'!I$34:I$50,MATCH($E297,'Vessel Valuations'!$C$34:$C$50,0))</f>
        <v>55.67832167832168</v>
      </c>
      <c r="U297" s="202"/>
      <c r="V297" s="185"/>
      <c r="Z297" s="185"/>
      <c r="AA297" s="185"/>
      <c r="AB297" s="185"/>
      <c r="AC297" s="185"/>
      <c r="AD297" s="185"/>
      <c r="AI297" s="21"/>
      <c r="AJ297" s="21"/>
    </row>
    <row r="298" spans="3:36" s="20" customFormat="1" outlineLevel="1" x14ac:dyDescent="0.2">
      <c r="C298" s="157" t="s">
        <v>1011</v>
      </c>
      <c r="D298" s="157" t="s">
        <v>15</v>
      </c>
      <c r="E298" s="157" t="s">
        <v>15</v>
      </c>
      <c r="F298" s="161" t="s">
        <v>992</v>
      </c>
      <c r="G298" s="118">
        <v>0</v>
      </c>
      <c r="H298" s="152">
        <f>INDEX(Premiums!$G$27:$G$30,MATCH(Hafnia!E298,Premiums!$E$27:$E$30,0))*G298</f>
        <v>0</v>
      </c>
      <c r="I298" s="186">
        <v>49999</v>
      </c>
      <c r="J298" s="157">
        <v>2008</v>
      </c>
      <c r="K298" s="63">
        <v>2024</v>
      </c>
      <c r="L298" s="56">
        <f t="shared" si="47"/>
        <v>16</v>
      </c>
      <c r="M298" s="1">
        <f t="shared" si="48"/>
        <v>0</v>
      </c>
      <c r="N298" s="184">
        <v>0</v>
      </c>
      <c r="P298" s="4">
        <f>INDEX('Vessel Valuations'!F$34:F$50,MATCH($E298,'Vessel Valuations'!$C$34:$C$50,0))</f>
        <v>7.8477078477077959E-5</v>
      </c>
      <c r="Q298" s="4">
        <f>INDEX('Vessel Valuations'!G$34:G$50,MATCH($E298,'Vessel Valuations'!$C$34:$C$50,0))</f>
        <v>2.6864801864801918E-2</v>
      </c>
      <c r="R298" s="4">
        <f>INDEX('Vessel Valuations'!H$34:H$50,MATCH($E298,'Vessel Valuations'!$C$34:$C$50,0))</f>
        <v>-2.5062160062160075</v>
      </c>
      <c r="S298" s="4">
        <f>INDEX('Vessel Valuations'!I$34:I$50,MATCH($E298,'Vessel Valuations'!$C$34:$C$50,0))</f>
        <v>55.67832167832168</v>
      </c>
      <c r="U298" s="202"/>
      <c r="V298" s="185"/>
      <c r="Z298" s="185"/>
      <c r="AA298" s="185"/>
      <c r="AB298" s="185"/>
      <c r="AC298" s="185"/>
      <c r="AD298" s="185"/>
      <c r="AI298" s="21"/>
      <c r="AJ298" s="21"/>
    </row>
    <row r="299" spans="3:36" s="20" customFormat="1" outlineLevel="1" x14ac:dyDescent="0.2">
      <c r="C299" s="157" t="s">
        <v>1012</v>
      </c>
      <c r="D299" s="157" t="s">
        <v>15</v>
      </c>
      <c r="E299" s="157" t="s">
        <v>15</v>
      </c>
      <c r="F299" s="161" t="s">
        <v>992</v>
      </c>
      <c r="G299" s="118">
        <v>1</v>
      </c>
      <c r="H299" s="152">
        <f>INDEX(Premiums!$G$27:$G$30,MATCH(Hafnia!E299,Premiums!$E$27:$E$30,0))*G299</f>
        <v>1313.4452054794519</v>
      </c>
      <c r="I299" s="186">
        <v>49999</v>
      </c>
      <c r="J299" s="157">
        <v>2018</v>
      </c>
      <c r="K299" s="63">
        <v>2024</v>
      </c>
      <c r="L299" s="56">
        <f t="shared" si="47"/>
        <v>6</v>
      </c>
      <c r="M299" s="1">
        <f t="shared" si="48"/>
        <v>0</v>
      </c>
      <c r="N299" s="184">
        <v>0</v>
      </c>
      <c r="P299" s="4">
        <f>INDEX('Vessel Valuations'!F$34:F$50,MATCH($E299,'Vessel Valuations'!$C$34:$C$50,0))</f>
        <v>7.8477078477077959E-5</v>
      </c>
      <c r="Q299" s="4">
        <f>INDEX('Vessel Valuations'!G$34:G$50,MATCH($E299,'Vessel Valuations'!$C$34:$C$50,0))</f>
        <v>2.6864801864801918E-2</v>
      </c>
      <c r="R299" s="4">
        <f>INDEX('Vessel Valuations'!H$34:H$50,MATCH($E299,'Vessel Valuations'!$C$34:$C$50,0))</f>
        <v>-2.5062160062160075</v>
      </c>
      <c r="S299" s="4">
        <f>INDEX('Vessel Valuations'!I$34:I$50,MATCH($E299,'Vessel Valuations'!$C$34:$C$50,0))</f>
        <v>55.67832167832168</v>
      </c>
      <c r="U299" s="202"/>
      <c r="V299" s="185"/>
      <c r="Z299" s="185"/>
      <c r="AA299" s="185"/>
      <c r="AB299" s="185"/>
      <c r="AC299" s="185"/>
      <c r="AD299" s="185"/>
      <c r="AI299" s="21"/>
      <c r="AJ299" s="21"/>
    </row>
    <row r="300" spans="3:36" s="20" customFormat="1" outlineLevel="1" x14ac:dyDescent="0.2">
      <c r="C300" s="157" t="s">
        <v>1013</v>
      </c>
      <c r="D300" s="157" t="s">
        <v>15</v>
      </c>
      <c r="E300" s="157" t="s">
        <v>15</v>
      </c>
      <c r="F300" s="161" t="s">
        <v>992</v>
      </c>
      <c r="G300" s="118">
        <v>1</v>
      </c>
      <c r="H300" s="152">
        <f>INDEX(Premiums!$G$27:$G$30,MATCH(Hafnia!E300,Premiums!$E$27:$E$30,0))*G300</f>
        <v>1313.4452054794519</v>
      </c>
      <c r="I300" s="186">
        <v>49999</v>
      </c>
      <c r="J300" s="157">
        <v>2018</v>
      </c>
      <c r="K300" s="63">
        <v>2024</v>
      </c>
      <c r="L300" s="56">
        <f t="shared" si="47"/>
        <v>6</v>
      </c>
      <c r="M300" s="1">
        <f t="shared" si="48"/>
        <v>0</v>
      </c>
      <c r="N300" s="184">
        <v>0</v>
      </c>
      <c r="P300" s="4">
        <f>INDEX('Vessel Valuations'!F$34:F$50,MATCH($E300,'Vessel Valuations'!$C$34:$C$50,0))</f>
        <v>7.8477078477077959E-5</v>
      </c>
      <c r="Q300" s="4">
        <f>INDEX('Vessel Valuations'!G$34:G$50,MATCH($E300,'Vessel Valuations'!$C$34:$C$50,0))</f>
        <v>2.6864801864801918E-2</v>
      </c>
      <c r="R300" s="4">
        <f>INDEX('Vessel Valuations'!H$34:H$50,MATCH($E300,'Vessel Valuations'!$C$34:$C$50,0))</f>
        <v>-2.5062160062160075</v>
      </c>
      <c r="S300" s="4">
        <f>INDEX('Vessel Valuations'!I$34:I$50,MATCH($E300,'Vessel Valuations'!$C$34:$C$50,0))</f>
        <v>55.67832167832168</v>
      </c>
      <c r="U300" s="202"/>
      <c r="V300" s="185"/>
      <c r="Z300" s="185"/>
      <c r="AA300" s="185"/>
      <c r="AB300" s="185"/>
      <c r="AC300" s="185"/>
      <c r="AD300" s="185"/>
      <c r="AI300" s="21"/>
      <c r="AJ300" s="21"/>
    </row>
    <row r="301" spans="3:36" s="20" customFormat="1" outlineLevel="1" x14ac:dyDescent="0.2">
      <c r="C301" s="157" t="s">
        <v>1014</v>
      </c>
      <c r="D301" s="157" t="s">
        <v>15</v>
      </c>
      <c r="E301" s="157" t="s">
        <v>15</v>
      </c>
      <c r="F301" s="161" t="s">
        <v>992</v>
      </c>
      <c r="G301" s="118">
        <v>0</v>
      </c>
      <c r="H301" s="152">
        <f>INDEX(Premiums!$G$27:$G$30,MATCH(Hafnia!E301,Premiums!$E$27:$E$30,0))*G301</f>
        <v>0</v>
      </c>
      <c r="I301" s="186">
        <v>49999</v>
      </c>
      <c r="J301" s="157">
        <v>2008</v>
      </c>
      <c r="K301" s="63">
        <v>2024</v>
      </c>
      <c r="L301" s="56">
        <f t="shared" ref="L301:L361" si="49">+(K301-J301)</f>
        <v>16</v>
      </c>
      <c r="M301" s="1">
        <f t="shared" si="48"/>
        <v>0</v>
      </c>
      <c r="N301" s="184">
        <v>0</v>
      </c>
      <c r="P301" s="4">
        <f>INDEX('Vessel Valuations'!F$34:F$50,MATCH($E301,'Vessel Valuations'!$C$34:$C$50,0))</f>
        <v>7.8477078477077959E-5</v>
      </c>
      <c r="Q301" s="4">
        <f>INDEX('Vessel Valuations'!G$34:G$50,MATCH($E301,'Vessel Valuations'!$C$34:$C$50,0))</f>
        <v>2.6864801864801918E-2</v>
      </c>
      <c r="R301" s="4">
        <f>INDEX('Vessel Valuations'!H$34:H$50,MATCH($E301,'Vessel Valuations'!$C$34:$C$50,0))</f>
        <v>-2.5062160062160075</v>
      </c>
      <c r="S301" s="4">
        <f>INDEX('Vessel Valuations'!I$34:I$50,MATCH($E301,'Vessel Valuations'!$C$34:$C$50,0))</f>
        <v>55.67832167832168</v>
      </c>
      <c r="U301" s="202"/>
      <c r="V301" s="185"/>
      <c r="Z301" s="185"/>
      <c r="AA301" s="185"/>
      <c r="AB301" s="185"/>
      <c r="AC301" s="185"/>
      <c r="AD301" s="185"/>
      <c r="AI301" s="21"/>
      <c r="AJ301" s="21"/>
    </row>
    <row r="302" spans="3:36" s="20" customFormat="1" outlineLevel="1" x14ac:dyDescent="0.2">
      <c r="C302" s="157" t="s">
        <v>1015</v>
      </c>
      <c r="D302" s="157" t="s">
        <v>15</v>
      </c>
      <c r="E302" s="157" t="s">
        <v>15</v>
      </c>
      <c r="F302" s="161" t="s">
        <v>992</v>
      </c>
      <c r="G302" s="118">
        <v>1</v>
      </c>
      <c r="H302" s="152">
        <f>INDEX(Premiums!$G$27:$G$30,MATCH(Hafnia!E302,Premiums!$E$27:$E$30,0))*G302</f>
        <v>1313.4452054794519</v>
      </c>
      <c r="I302" s="186">
        <v>49999</v>
      </c>
      <c r="J302" s="157">
        <v>2021</v>
      </c>
      <c r="K302" s="63">
        <v>2024</v>
      </c>
      <c r="L302" s="56">
        <f t="shared" si="49"/>
        <v>3</v>
      </c>
      <c r="M302" s="1">
        <f t="shared" si="48"/>
        <v>0</v>
      </c>
      <c r="N302" s="184">
        <v>0</v>
      </c>
      <c r="P302" s="4">
        <f>INDEX('Vessel Valuations'!F$34:F$50,MATCH($E302,'Vessel Valuations'!$C$34:$C$50,0))</f>
        <v>7.8477078477077959E-5</v>
      </c>
      <c r="Q302" s="4">
        <f>INDEX('Vessel Valuations'!G$34:G$50,MATCH($E302,'Vessel Valuations'!$C$34:$C$50,0))</f>
        <v>2.6864801864801918E-2</v>
      </c>
      <c r="R302" s="4">
        <f>INDEX('Vessel Valuations'!H$34:H$50,MATCH($E302,'Vessel Valuations'!$C$34:$C$50,0))</f>
        <v>-2.5062160062160075</v>
      </c>
      <c r="S302" s="4">
        <f>INDEX('Vessel Valuations'!I$34:I$50,MATCH($E302,'Vessel Valuations'!$C$34:$C$50,0))</f>
        <v>55.67832167832168</v>
      </c>
      <c r="U302" s="202"/>
      <c r="V302" s="185"/>
      <c r="Z302" s="185"/>
      <c r="AA302" s="185"/>
      <c r="AB302" s="185"/>
      <c r="AC302" s="185"/>
      <c r="AD302" s="185"/>
      <c r="AI302" s="21"/>
      <c r="AJ302" s="21"/>
    </row>
    <row r="303" spans="3:36" s="20" customFormat="1" outlineLevel="1" x14ac:dyDescent="0.2">
      <c r="C303" s="157" t="s">
        <v>1016</v>
      </c>
      <c r="D303" s="157" t="s">
        <v>15</v>
      </c>
      <c r="E303" s="157" t="s">
        <v>15</v>
      </c>
      <c r="F303" s="161" t="s">
        <v>992</v>
      </c>
      <c r="G303" s="118">
        <v>0</v>
      </c>
      <c r="H303" s="152">
        <f>INDEX(Premiums!$G$27:$G$30,MATCH(Hafnia!E303,Premiums!$E$27:$E$30,0))*G303</f>
        <v>0</v>
      </c>
      <c r="I303" s="186">
        <v>49999</v>
      </c>
      <c r="J303" s="157">
        <v>2011</v>
      </c>
      <c r="K303" s="63">
        <v>2024</v>
      </c>
      <c r="L303" s="56">
        <f t="shared" si="49"/>
        <v>13</v>
      </c>
      <c r="M303" s="1">
        <f t="shared" si="48"/>
        <v>0</v>
      </c>
      <c r="N303" s="184">
        <v>0</v>
      </c>
      <c r="P303" s="4">
        <f>INDEX('Vessel Valuations'!F$34:F$50,MATCH($E303,'Vessel Valuations'!$C$34:$C$50,0))</f>
        <v>7.8477078477077959E-5</v>
      </c>
      <c r="Q303" s="4">
        <f>INDEX('Vessel Valuations'!G$34:G$50,MATCH($E303,'Vessel Valuations'!$C$34:$C$50,0))</f>
        <v>2.6864801864801918E-2</v>
      </c>
      <c r="R303" s="4">
        <f>INDEX('Vessel Valuations'!H$34:H$50,MATCH($E303,'Vessel Valuations'!$C$34:$C$50,0))</f>
        <v>-2.5062160062160075</v>
      </c>
      <c r="S303" s="4">
        <f>INDEX('Vessel Valuations'!I$34:I$50,MATCH($E303,'Vessel Valuations'!$C$34:$C$50,0))</f>
        <v>55.67832167832168</v>
      </c>
      <c r="U303" s="202"/>
      <c r="V303" s="185"/>
      <c r="Z303" s="185"/>
      <c r="AA303" s="185"/>
      <c r="AB303" s="185"/>
      <c r="AC303" s="185"/>
      <c r="AD303" s="185"/>
      <c r="AI303" s="21"/>
      <c r="AJ303" s="21"/>
    </row>
    <row r="304" spans="3:36" s="20" customFormat="1" outlineLevel="1" x14ac:dyDescent="0.2">
      <c r="C304" s="157" t="s">
        <v>1017</v>
      </c>
      <c r="D304" s="157" t="s">
        <v>15</v>
      </c>
      <c r="E304" s="157" t="s">
        <v>15</v>
      </c>
      <c r="F304" s="161" t="s">
        <v>992</v>
      </c>
      <c r="G304" s="118">
        <v>0</v>
      </c>
      <c r="H304" s="152">
        <f>INDEX(Premiums!$G$27:$G$30,MATCH(Hafnia!E304,Premiums!$E$27:$E$30,0))*G304</f>
        <v>0</v>
      </c>
      <c r="I304" s="186">
        <v>49997</v>
      </c>
      <c r="J304" s="157">
        <v>2010</v>
      </c>
      <c r="K304" s="63">
        <v>2024</v>
      </c>
      <c r="L304" s="56">
        <f t="shared" si="49"/>
        <v>14</v>
      </c>
      <c r="M304" s="1">
        <f t="shared" si="48"/>
        <v>0</v>
      </c>
      <c r="N304" s="184">
        <v>0</v>
      </c>
      <c r="P304" s="4">
        <f>INDEX('Vessel Valuations'!F$34:F$50,MATCH($E304,'Vessel Valuations'!$C$34:$C$50,0))</f>
        <v>7.8477078477077959E-5</v>
      </c>
      <c r="Q304" s="4">
        <f>INDEX('Vessel Valuations'!G$34:G$50,MATCH($E304,'Vessel Valuations'!$C$34:$C$50,0))</f>
        <v>2.6864801864801918E-2</v>
      </c>
      <c r="R304" s="4">
        <f>INDEX('Vessel Valuations'!H$34:H$50,MATCH($E304,'Vessel Valuations'!$C$34:$C$50,0))</f>
        <v>-2.5062160062160075</v>
      </c>
      <c r="S304" s="4">
        <f>INDEX('Vessel Valuations'!I$34:I$50,MATCH($E304,'Vessel Valuations'!$C$34:$C$50,0))</f>
        <v>55.67832167832168</v>
      </c>
      <c r="U304" s="202"/>
      <c r="V304" s="185"/>
      <c r="Z304" s="185"/>
      <c r="AA304" s="185"/>
      <c r="AB304" s="185"/>
      <c r="AC304" s="185"/>
      <c r="AD304" s="185"/>
      <c r="AI304" s="21"/>
      <c r="AJ304" s="21"/>
    </row>
    <row r="305" spans="3:36" s="20" customFormat="1" outlineLevel="1" x14ac:dyDescent="0.2">
      <c r="C305" s="157" t="s">
        <v>1018</v>
      </c>
      <c r="D305" s="157" t="s">
        <v>15</v>
      </c>
      <c r="E305" s="157" t="s">
        <v>15</v>
      </c>
      <c r="F305" s="161" t="s">
        <v>992</v>
      </c>
      <c r="G305" s="118">
        <v>1</v>
      </c>
      <c r="H305" s="152">
        <f>INDEX(Premiums!$G$27:$G$30,MATCH(Hafnia!E305,Premiums!$E$27:$E$30,0))*G305</f>
        <v>1313.4452054794519</v>
      </c>
      <c r="I305" s="186">
        <v>49717</v>
      </c>
      <c r="J305" s="157">
        <v>2016</v>
      </c>
      <c r="K305" s="63">
        <v>2024</v>
      </c>
      <c r="L305" s="56">
        <f t="shared" si="49"/>
        <v>8</v>
      </c>
      <c r="M305" s="1">
        <f t="shared" si="48"/>
        <v>0</v>
      </c>
      <c r="N305" s="184">
        <v>0</v>
      </c>
      <c r="P305" s="4">
        <f>INDEX('Vessel Valuations'!F$34:F$50,MATCH($E305,'Vessel Valuations'!$C$34:$C$50,0))</f>
        <v>7.8477078477077959E-5</v>
      </c>
      <c r="Q305" s="4">
        <f>INDEX('Vessel Valuations'!G$34:G$50,MATCH($E305,'Vessel Valuations'!$C$34:$C$50,0))</f>
        <v>2.6864801864801918E-2</v>
      </c>
      <c r="R305" s="4">
        <f>INDEX('Vessel Valuations'!H$34:H$50,MATCH($E305,'Vessel Valuations'!$C$34:$C$50,0))</f>
        <v>-2.5062160062160075</v>
      </c>
      <c r="S305" s="4">
        <f>INDEX('Vessel Valuations'!I$34:I$50,MATCH($E305,'Vessel Valuations'!$C$34:$C$50,0))</f>
        <v>55.67832167832168</v>
      </c>
      <c r="U305" s="202"/>
      <c r="V305" s="185"/>
      <c r="Z305" s="185"/>
      <c r="AA305" s="185"/>
      <c r="AB305" s="185"/>
      <c r="AC305" s="185"/>
      <c r="AD305" s="185"/>
      <c r="AI305" s="21"/>
      <c r="AJ305" s="21"/>
    </row>
    <row r="306" spans="3:36" s="20" customFormat="1" outlineLevel="1" x14ac:dyDescent="0.2">
      <c r="C306" s="157" t="s">
        <v>1019</v>
      </c>
      <c r="D306" s="157" t="s">
        <v>15</v>
      </c>
      <c r="E306" s="157" t="s">
        <v>15</v>
      </c>
      <c r="F306" s="161" t="s">
        <v>992</v>
      </c>
      <c r="G306" s="118">
        <v>0</v>
      </c>
      <c r="H306" s="152">
        <f>INDEX(Premiums!$G$27:$G$30,MATCH(Hafnia!E306,Premiums!$E$27:$E$30,0))*G306</f>
        <v>0</v>
      </c>
      <c r="I306" s="186">
        <v>48635</v>
      </c>
      <c r="J306" s="157">
        <v>2006</v>
      </c>
      <c r="K306" s="63">
        <v>2024</v>
      </c>
      <c r="L306" s="56">
        <f t="shared" si="49"/>
        <v>18</v>
      </c>
      <c r="M306" s="1">
        <f t="shared" si="48"/>
        <v>0</v>
      </c>
      <c r="N306" s="184">
        <v>0</v>
      </c>
      <c r="P306" s="4">
        <f>INDEX('Vessel Valuations'!F$34:F$50,MATCH($E306,'Vessel Valuations'!$C$34:$C$50,0))</f>
        <v>7.8477078477077959E-5</v>
      </c>
      <c r="Q306" s="4">
        <f>INDEX('Vessel Valuations'!G$34:G$50,MATCH($E306,'Vessel Valuations'!$C$34:$C$50,0))</f>
        <v>2.6864801864801918E-2</v>
      </c>
      <c r="R306" s="4">
        <f>INDEX('Vessel Valuations'!H$34:H$50,MATCH($E306,'Vessel Valuations'!$C$34:$C$50,0))</f>
        <v>-2.5062160062160075</v>
      </c>
      <c r="S306" s="4">
        <f>INDEX('Vessel Valuations'!I$34:I$50,MATCH($E306,'Vessel Valuations'!$C$34:$C$50,0))</f>
        <v>55.67832167832168</v>
      </c>
      <c r="U306" s="202"/>
      <c r="V306" s="185"/>
      <c r="Z306" s="185"/>
      <c r="AA306" s="185"/>
      <c r="AB306" s="185"/>
      <c r="AC306" s="185"/>
      <c r="AD306" s="185"/>
      <c r="AI306" s="21"/>
      <c r="AJ306" s="21"/>
    </row>
    <row r="307" spans="3:36" s="20" customFormat="1" outlineLevel="1" x14ac:dyDescent="0.2">
      <c r="C307" s="157" t="s">
        <v>1020</v>
      </c>
      <c r="D307" s="157" t="s">
        <v>15</v>
      </c>
      <c r="E307" s="157" t="s">
        <v>15</v>
      </c>
      <c r="F307" s="161" t="s">
        <v>992</v>
      </c>
      <c r="G307" s="118">
        <v>0</v>
      </c>
      <c r="H307" s="152">
        <f>INDEX(Premiums!$G$27:$G$30,MATCH(Hafnia!E307,Premiums!$E$27:$E$30,0))*G307</f>
        <v>0</v>
      </c>
      <c r="I307" s="186">
        <v>48539</v>
      </c>
      <c r="J307" s="157">
        <v>2005</v>
      </c>
      <c r="K307" s="63">
        <v>2024</v>
      </c>
      <c r="L307" s="56">
        <f t="shared" si="49"/>
        <v>19</v>
      </c>
      <c r="M307" s="1">
        <f t="shared" si="48"/>
        <v>0</v>
      </c>
      <c r="N307" s="184">
        <v>0</v>
      </c>
      <c r="P307" s="4">
        <f>INDEX('Vessel Valuations'!F$34:F$50,MATCH($E307,'Vessel Valuations'!$C$34:$C$50,0))</f>
        <v>7.8477078477077959E-5</v>
      </c>
      <c r="Q307" s="4">
        <f>INDEX('Vessel Valuations'!G$34:G$50,MATCH($E307,'Vessel Valuations'!$C$34:$C$50,0))</f>
        <v>2.6864801864801918E-2</v>
      </c>
      <c r="R307" s="4">
        <f>INDEX('Vessel Valuations'!H$34:H$50,MATCH($E307,'Vessel Valuations'!$C$34:$C$50,0))</f>
        <v>-2.5062160062160075</v>
      </c>
      <c r="S307" s="4">
        <f>INDEX('Vessel Valuations'!I$34:I$50,MATCH($E307,'Vessel Valuations'!$C$34:$C$50,0))</f>
        <v>55.67832167832168</v>
      </c>
      <c r="U307" s="202"/>
      <c r="V307" s="185"/>
      <c r="Z307" s="185"/>
      <c r="AA307" s="185"/>
      <c r="AB307" s="185"/>
      <c r="AC307" s="185"/>
      <c r="AD307" s="185"/>
      <c r="AI307" s="21"/>
      <c r="AJ307" s="21"/>
    </row>
    <row r="308" spans="3:36" s="20" customFormat="1" outlineLevel="1" x14ac:dyDescent="0.2">
      <c r="C308" s="157" t="s">
        <v>1021</v>
      </c>
      <c r="D308" s="157" t="s">
        <v>15</v>
      </c>
      <c r="E308" s="157" t="s">
        <v>15</v>
      </c>
      <c r="F308" s="161" t="s">
        <v>992</v>
      </c>
      <c r="G308" s="118">
        <v>0</v>
      </c>
      <c r="H308" s="152">
        <f>INDEX(Premiums!$G$27:$G$30,MATCH(Hafnia!E308,Premiums!$E$27:$E$30,0))*G308</f>
        <v>0</v>
      </c>
      <c r="I308" s="186">
        <v>47962</v>
      </c>
      <c r="J308" s="157">
        <v>2010</v>
      </c>
      <c r="K308" s="63">
        <v>2024</v>
      </c>
      <c r="L308" s="56">
        <f t="shared" si="49"/>
        <v>14</v>
      </c>
      <c r="M308" s="1">
        <f t="shared" si="48"/>
        <v>0</v>
      </c>
      <c r="N308" s="184">
        <v>0</v>
      </c>
      <c r="P308" s="4">
        <f>INDEX('Vessel Valuations'!F$34:F$50,MATCH($E308,'Vessel Valuations'!$C$34:$C$50,0))</f>
        <v>7.8477078477077959E-5</v>
      </c>
      <c r="Q308" s="4">
        <f>INDEX('Vessel Valuations'!G$34:G$50,MATCH($E308,'Vessel Valuations'!$C$34:$C$50,0))</f>
        <v>2.6864801864801918E-2</v>
      </c>
      <c r="R308" s="4">
        <f>INDEX('Vessel Valuations'!H$34:H$50,MATCH($E308,'Vessel Valuations'!$C$34:$C$50,0))</f>
        <v>-2.5062160062160075</v>
      </c>
      <c r="S308" s="4">
        <f>INDEX('Vessel Valuations'!I$34:I$50,MATCH($E308,'Vessel Valuations'!$C$34:$C$50,0))</f>
        <v>55.67832167832168</v>
      </c>
      <c r="U308" s="202"/>
      <c r="V308" s="185"/>
      <c r="Z308" s="185"/>
      <c r="AA308" s="185"/>
      <c r="AB308" s="185"/>
      <c r="AC308" s="185"/>
      <c r="AD308" s="185"/>
      <c r="AI308" s="21"/>
      <c r="AJ308" s="21"/>
    </row>
    <row r="309" spans="3:36" s="20" customFormat="1" outlineLevel="1" x14ac:dyDescent="0.2">
      <c r="C309" s="157" t="s">
        <v>1022</v>
      </c>
      <c r="D309" s="157" t="s">
        <v>15</v>
      </c>
      <c r="E309" s="157" t="s">
        <v>15</v>
      </c>
      <c r="F309" s="161" t="s">
        <v>992</v>
      </c>
      <c r="G309" s="118">
        <v>0</v>
      </c>
      <c r="H309" s="152">
        <f>INDEX(Premiums!$G$27:$G$30,MATCH(Hafnia!E309,Premiums!$E$27:$E$30,0))*G309</f>
        <v>0</v>
      </c>
      <c r="I309" s="186">
        <v>47848</v>
      </c>
      <c r="J309" s="157">
        <v>2007</v>
      </c>
      <c r="K309" s="63">
        <v>2024</v>
      </c>
      <c r="L309" s="56">
        <f t="shared" si="49"/>
        <v>17</v>
      </c>
      <c r="M309" s="1">
        <f t="shared" si="48"/>
        <v>0</v>
      </c>
      <c r="N309" s="184">
        <v>0</v>
      </c>
      <c r="P309" s="4">
        <f>INDEX('Vessel Valuations'!F$34:F$50,MATCH($E309,'Vessel Valuations'!$C$34:$C$50,0))</f>
        <v>7.8477078477077959E-5</v>
      </c>
      <c r="Q309" s="4">
        <f>INDEX('Vessel Valuations'!G$34:G$50,MATCH($E309,'Vessel Valuations'!$C$34:$C$50,0))</f>
        <v>2.6864801864801918E-2</v>
      </c>
      <c r="R309" s="4">
        <f>INDEX('Vessel Valuations'!H$34:H$50,MATCH($E309,'Vessel Valuations'!$C$34:$C$50,0))</f>
        <v>-2.5062160062160075</v>
      </c>
      <c r="S309" s="4">
        <f>INDEX('Vessel Valuations'!I$34:I$50,MATCH($E309,'Vessel Valuations'!$C$34:$C$50,0))</f>
        <v>55.67832167832168</v>
      </c>
      <c r="U309" s="202"/>
      <c r="V309" s="185"/>
      <c r="Z309" s="185"/>
      <c r="AA309" s="185"/>
      <c r="AB309" s="185"/>
      <c r="AC309" s="185"/>
      <c r="AD309" s="185"/>
      <c r="AI309" s="21"/>
      <c r="AJ309" s="21"/>
    </row>
    <row r="310" spans="3:36" s="20" customFormat="1" outlineLevel="1" x14ac:dyDescent="0.2">
      <c r="C310" s="157" t="s">
        <v>1023</v>
      </c>
      <c r="D310" s="157" t="s">
        <v>15</v>
      </c>
      <c r="E310" s="157" t="s">
        <v>15</v>
      </c>
      <c r="F310" s="161" t="s">
        <v>992</v>
      </c>
      <c r="G310" s="118">
        <v>0</v>
      </c>
      <c r="H310" s="152">
        <f>INDEX(Premiums!$G$27:$G$30,MATCH(Hafnia!E310,Premiums!$E$27:$E$30,0))*G310</f>
        <v>0</v>
      </c>
      <c r="I310" s="186">
        <v>47848</v>
      </c>
      <c r="J310" s="157">
        <v>2007</v>
      </c>
      <c r="K310" s="63">
        <v>2024</v>
      </c>
      <c r="L310" s="56">
        <f t="shared" si="49"/>
        <v>17</v>
      </c>
      <c r="M310" s="1">
        <f t="shared" si="48"/>
        <v>0</v>
      </c>
      <c r="N310" s="184">
        <v>0</v>
      </c>
      <c r="P310" s="4">
        <f>INDEX('Vessel Valuations'!F$34:F$50,MATCH($E310,'Vessel Valuations'!$C$34:$C$50,0))</f>
        <v>7.8477078477077959E-5</v>
      </c>
      <c r="Q310" s="4">
        <f>INDEX('Vessel Valuations'!G$34:G$50,MATCH($E310,'Vessel Valuations'!$C$34:$C$50,0))</f>
        <v>2.6864801864801918E-2</v>
      </c>
      <c r="R310" s="4">
        <f>INDEX('Vessel Valuations'!H$34:H$50,MATCH($E310,'Vessel Valuations'!$C$34:$C$50,0))</f>
        <v>-2.5062160062160075</v>
      </c>
      <c r="S310" s="4">
        <f>INDEX('Vessel Valuations'!I$34:I$50,MATCH($E310,'Vessel Valuations'!$C$34:$C$50,0))</f>
        <v>55.67832167832168</v>
      </c>
      <c r="U310" s="202"/>
      <c r="V310" s="185"/>
      <c r="Z310" s="185"/>
      <c r="AA310" s="185"/>
      <c r="AB310" s="185"/>
      <c r="AC310" s="185"/>
      <c r="AD310" s="185"/>
      <c r="AI310" s="21"/>
      <c r="AJ310" s="21"/>
    </row>
    <row r="311" spans="3:36" s="20" customFormat="1" outlineLevel="1" x14ac:dyDescent="0.2">
      <c r="C311" s="157" t="s">
        <v>1024</v>
      </c>
      <c r="D311" s="157" t="s">
        <v>15</v>
      </c>
      <c r="E311" s="157" t="s">
        <v>15</v>
      </c>
      <c r="F311" s="161" t="s">
        <v>992</v>
      </c>
      <c r="G311" s="118">
        <v>0</v>
      </c>
      <c r="H311" s="152">
        <f>INDEX(Premiums!$G$27:$G$30,MATCH(Hafnia!E311,Premiums!$E$27:$E$30,0))*G311</f>
        <v>0</v>
      </c>
      <c r="I311" s="186">
        <v>47824</v>
      </c>
      <c r="J311" s="157">
        <v>2007</v>
      </c>
      <c r="K311" s="63">
        <v>2024</v>
      </c>
      <c r="L311" s="56">
        <f t="shared" si="49"/>
        <v>17</v>
      </c>
      <c r="M311" s="1">
        <f t="shared" si="48"/>
        <v>0</v>
      </c>
      <c r="N311" s="184">
        <v>0</v>
      </c>
      <c r="P311" s="4">
        <f>INDEX('Vessel Valuations'!F$34:F$50,MATCH($E311,'Vessel Valuations'!$C$34:$C$50,0))</f>
        <v>7.8477078477077959E-5</v>
      </c>
      <c r="Q311" s="4">
        <f>INDEX('Vessel Valuations'!G$34:G$50,MATCH($E311,'Vessel Valuations'!$C$34:$C$50,0))</f>
        <v>2.6864801864801918E-2</v>
      </c>
      <c r="R311" s="4">
        <f>INDEX('Vessel Valuations'!H$34:H$50,MATCH($E311,'Vessel Valuations'!$C$34:$C$50,0))</f>
        <v>-2.5062160062160075</v>
      </c>
      <c r="S311" s="4">
        <f>INDEX('Vessel Valuations'!I$34:I$50,MATCH($E311,'Vessel Valuations'!$C$34:$C$50,0))</f>
        <v>55.67832167832168</v>
      </c>
      <c r="U311" s="202"/>
      <c r="V311" s="185"/>
      <c r="Z311" s="185"/>
      <c r="AA311" s="185"/>
      <c r="AB311" s="185"/>
      <c r="AC311" s="185"/>
      <c r="AD311" s="185"/>
      <c r="AI311" s="21"/>
      <c r="AJ311" s="21"/>
    </row>
    <row r="312" spans="3:36" s="20" customFormat="1" outlineLevel="1" x14ac:dyDescent="0.2">
      <c r="C312" s="157" t="s">
        <v>1025</v>
      </c>
      <c r="D312" s="157" t="s">
        <v>15</v>
      </c>
      <c r="E312" s="157" t="s">
        <v>15</v>
      </c>
      <c r="F312" s="161" t="s">
        <v>992</v>
      </c>
      <c r="G312" s="118">
        <v>0</v>
      </c>
      <c r="H312" s="152">
        <f>INDEX(Premiums!$G$27:$G$30,MATCH(Hafnia!E312,Premiums!$E$27:$E$30,0))*G312</f>
        <v>0</v>
      </c>
      <c r="I312" s="186">
        <v>47399</v>
      </c>
      <c r="J312" s="157">
        <v>2008</v>
      </c>
      <c r="K312" s="63">
        <v>2024</v>
      </c>
      <c r="L312" s="56">
        <f t="shared" si="49"/>
        <v>16</v>
      </c>
      <c r="M312" s="1">
        <f t="shared" si="48"/>
        <v>0</v>
      </c>
      <c r="N312" s="184">
        <v>0</v>
      </c>
      <c r="P312" s="4">
        <f>INDEX('Vessel Valuations'!F$34:F$50,MATCH($E312,'Vessel Valuations'!$C$34:$C$50,0))</f>
        <v>7.8477078477077959E-5</v>
      </c>
      <c r="Q312" s="4">
        <f>INDEX('Vessel Valuations'!G$34:G$50,MATCH($E312,'Vessel Valuations'!$C$34:$C$50,0))</f>
        <v>2.6864801864801918E-2</v>
      </c>
      <c r="R312" s="4">
        <f>INDEX('Vessel Valuations'!H$34:H$50,MATCH($E312,'Vessel Valuations'!$C$34:$C$50,0))</f>
        <v>-2.5062160062160075</v>
      </c>
      <c r="S312" s="4">
        <f>INDEX('Vessel Valuations'!I$34:I$50,MATCH($E312,'Vessel Valuations'!$C$34:$C$50,0))</f>
        <v>55.67832167832168</v>
      </c>
      <c r="U312" s="202"/>
      <c r="V312" s="185"/>
      <c r="Z312" s="185"/>
      <c r="AA312" s="185"/>
      <c r="AB312" s="185"/>
      <c r="AC312" s="185"/>
      <c r="AD312" s="185"/>
      <c r="AI312" s="21"/>
      <c r="AJ312" s="21"/>
    </row>
    <row r="313" spans="3:36" s="20" customFormat="1" outlineLevel="1" x14ac:dyDescent="0.2">
      <c r="C313" s="157" t="s">
        <v>1026</v>
      </c>
      <c r="D313" s="157" t="s">
        <v>15</v>
      </c>
      <c r="E313" s="157" t="s">
        <v>15</v>
      </c>
      <c r="F313" s="161" t="s">
        <v>992</v>
      </c>
      <c r="G313" s="118">
        <v>0</v>
      </c>
      <c r="H313" s="152">
        <f>INDEX(Premiums!$G$27:$G$30,MATCH(Hafnia!E313,Premiums!$E$27:$E$30,0))*G313</f>
        <v>0</v>
      </c>
      <c r="I313" s="186">
        <v>47165</v>
      </c>
      <c r="J313" s="157">
        <v>2008</v>
      </c>
      <c r="K313" s="63">
        <v>2024</v>
      </c>
      <c r="L313" s="56">
        <f t="shared" si="49"/>
        <v>16</v>
      </c>
      <c r="M313" s="1">
        <f t="shared" si="48"/>
        <v>0</v>
      </c>
      <c r="N313" s="184">
        <v>0</v>
      </c>
      <c r="P313" s="4">
        <f>INDEX('Vessel Valuations'!F$34:F$50,MATCH($E313,'Vessel Valuations'!$C$34:$C$50,0))</f>
        <v>7.8477078477077959E-5</v>
      </c>
      <c r="Q313" s="4">
        <f>INDEX('Vessel Valuations'!G$34:G$50,MATCH($E313,'Vessel Valuations'!$C$34:$C$50,0))</f>
        <v>2.6864801864801918E-2</v>
      </c>
      <c r="R313" s="4">
        <f>INDEX('Vessel Valuations'!H$34:H$50,MATCH($E313,'Vessel Valuations'!$C$34:$C$50,0))</f>
        <v>-2.5062160062160075</v>
      </c>
      <c r="S313" s="4">
        <f>INDEX('Vessel Valuations'!I$34:I$50,MATCH($E313,'Vessel Valuations'!$C$34:$C$50,0))</f>
        <v>55.67832167832168</v>
      </c>
      <c r="U313" s="202"/>
      <c r="V313" s="185"/>
      <c r="Z313" s="185"/>
      <c r="AA313" s="185"/>
      <c r="AB313" s="185"/>
      <c r="AC313" s="185"/>
      <c r="AD313" s="185"/>
      <c r="AI313" s="21"/>
      <c r="AJ313" s="21"/>
    </row>
    <row r="314" spans="3:36" s="20" customFormat="1" outlineLevel="1" x14ac:dyDescent="0.2">
      <c r="C314" s="157" t="s">
        <v>1027</v>
      </c>
      <c r="D314" s="157" t="s">
        <v>15</v>
      </c>
      <c r="E314" s="157" t="s">
        <v>15</v>
      </c>
      <c r="F314" s="161" t="s">
        <v>992</v>
      </c>
      <c r="G314" s="118">
        <v>0</v>
      </c>
      <c r="H314" s="152">
        <f>INDEX(Premiums!$G$27:$G$30,MATCH(Hafnia!E314,Premiums!$E$27:$E$30,0))*G314</f>
        <v>0</v>
      </c>
      <c r="I314" s="186">
        <v>46917</v>
      </c>
      <c r="J314" s="157">
        <v>2008</v>
      </c>
      <c r="K314" s="63">
        <v>2024</v>
      </c>
      <c r="L314" s="56">
        <f t="shared" si="49"/>
        <v>16</v>
      </c>
      <c r="M314" s="1">
        <f t="shared" si="48"/>
        <v>0</v>
      </c>
      <c r="N314" s="184">
        <v>0</v>
      </c>
      <c r="P314" s="4">
        <f>INDEX('Vessel Valuations'!F$34:F$50,MATCH($E314,'Vessel Valuations'!$C$34:$C$50,0))</f>
        <v>7.8477078477077959E-5</v>
      </c>
      <c r="Q314" s="4">
        <f>INDEX('Vessel Valuations'!G$34:G$50,MATCH($E314,'Vessel Valuations'!$C$34:$C$50,0))</f>
        <v>2.6864801864801918E-2</v>
      </c>
      <c r="R314" s="4">
        <f>INDEX('Vessel Valuations'!H$34:H$50,MATCH($E314,'Vessel Valuations'!$C$34:$C$50,0))</f>
        <v>-2.5062160062160075</v>
      </c>
      <c r="S314" s="4">
        <f>INDEX('Vessel Valuations'!I$34:I$50,MATCH($E314,'Vessel Valuations'!$C$34:$C$50,0))</f>
        <v>55.67832167832168</v>
      </c>
      <c r="U314" s="202"/>
      <c r="V314" s="185"/>
      <c r="Z314" s="185"/>
      <c r="AA314" s="185"/>
      <c r="AB314" s="185"/>
      <c r="AC314" s="185"/>
      <c r="AD314" s="185"/>
      <c r="AI314" s="21"/>
      <c r="AJ314" s="21"/>
    </row>
    <row r="315" spans="3:36" s="20" customFormat="1" outlineLevel="1" x14ac:dyDescent="0.2">
      <c r="C315" s="157" t="s">
        <v>1028</v>
      </c>
      <c r="D315" s="157" t="s">
        <v>15</v>
      </c>
      <c r="E315" s="157" t="s">
        <v>15</v>
      </c>
      <c r="F315" s="161" t="s">
        <v>992</v>
      </c>
      <c r="G315" s="118">
        <v>0</v>
      </c>
      <c r="H315" s="152">
        <f>INDEX(Premiums!$G$27:$G$30,MATCH(Hafnia!E315,Premiums!$E$27:$E$30,0))*G315</f>
        <v>0</v>
      </c>
      <c r="I315" s="186">
        <v>46162</v>
      </c>
      <c r="J315" s="157">
        <v>2010</v>
      </c>
      <c r="K315" s="63">
        <v>2024</v>
      </c>
      <c r="L315" s="56">
        <f t="shared" si="49"/>
        <v>14</v>
      </c>
      <c r="M315" s="1">
        <f t="shared" si="48"/>
        <v>0</v>
      </c>
      <c r="N315" s="184">
        <v>0</v>
      </c>
      <c r="P315" s="4">
        <f>INDEX('Vessel Valuations'!F$34:F$50,MATCH($E315,'Vessel Valuations'!$C$34:$C$50,0))</f>
        <v>7.8477078477077959E-5</v>
      </c>
      <c r="Q315" s="4">
        <f>INDEX('Vessel Valuations'!G$34:G$50,MATCH($E315,'Vessel Valuations'!$C$34:$C$50,0))</f>
        <v>2.6864801864801918E-2</v>
      </c>
      <c r="R315" s="4">
        <f>INDEX('Vessel Valuations'!H$34:H$50,MATCH($E315,'Vessel Valuations'!$C$34:$C$50,0))</f>
        <v>-2.5062160062160075</v>
      </c>
      <c r="S315" s="4">
        <f>INDEX('Vessel Valuations'!I$34:I$50,MATCH($E315,'Vessel Valuations'!$C$34:$C$50,0))</f>
        <v>55.67832167832168</v>
      </c>
      <c r="U315" s="202"/>
      <c r="V315" s="185"/>
      <c r="Z315" s="185"/>
      <c r="AA315" s="185"/>
      <c r="AB315" s="185"/>
      <c r="AC315" s="185"/>
      <c r="AD315" s="185"/>
      <c r="AI315" s="21"/>
      <c r="AJ315" s="21"/>
    </row>
    <row r="316" spans="3:36" s="20" customFormat="1" outlineLevel="1" x14ac:dyDescent="0.2">
      <c r="C316" s="157" t="s">
        <v>1029</v>
      </c>
      <c r="D316" s="157" t="s">
        <v>15</v>
      </c>
      <c r="E316" s="157" t="s">
        <v>15</v>
      </c>
      <c r="F316" s="161" t="s">
        <v>992</v>
      </c>
      <c r="G316" s="118">
        <v>0</v>
      </c>
      <c r="H316" s="152">
        <f>INDEX(Premiums!$G$27:$G$30,MATCH(Hafnia!E316,Premiums!$E$27:$E$30,0))*G316</f>
        <v>0</v>
      </c>
      <c r="I316" s="186">
        <v>45994</v>
      </c>
      <c r="J316" s="157">
        <v>2010</v>
      </c>
      <c r="K316" s="63">
        <v>2024</v>
      </c>
      <c r="L316" s="56">
        <f t="shared" si="49"/>
        <v>14</v>
      </c>
      <c r="M316" s="1">
        <f t="shared" si="48"/>
        <v>0</v>
      </c>
      <c r="N316" s="184">
        <v>0</v>
      </c>
      <c r="P316" s="4">
        <f>INDEX('Vessel Valuations'!F$34:F$50,MATCH($E316,'Vessel Valuations'!$C$34:$C$50,0))</f>
        <v>7.8477078477077959E-5</v>
      </c>
      <c r="Q316" s="4">
        <f>INDEX('Vessel Valuations'!G$34:G$50,MATCH($E316,'Vessel Valuations'!$C$34:$C$50,0))</f>
        <v>2.6864801864801918E-2</v>
      </c>
      <c r="R316" s="4">
        <f>INDEX('Vessel Valuations'!H$34:H$50,MATCH($E316,'Vessel Valuations'!$C$34:$C$50,0))</f>
        <v>-2.5062160062160075</v>
      </c>
      <c r="S316" s="4">
        <f>INDEX('Vessel Valuations'!I$34:I$50,MATCH($E316,'Vessel Valuations'!$C$34:$C$50,0))</f>
        <v>55.67832167832168</v>
      </c>
      <c r="U316" s="202"/>
      <c r="V316" s="185"/>
      <c r="Z316" s="185"/>
      <c r="AA316" s="185"/>
      <c r="AB316" s="185"/>
      <c r="AC316" s="185"/>
      <c r="AD316" s="185"/>
      <c r="AI316" s="21"/>
      <c r="AJ316" s="21"/>
    </row>
    <row r="317" spans="3:36" s="20" customFormat="1" outlineLevel="1" x14ac:dyDescent="0.2">
      <c r="C317" s="157" t="s">
        <v>1030</v>
      </c>
      <c r="D317" s="157" t="s">
        <v>15</v>
      </c>
      <c r="E317" s="157" t="s">
        <v>15</v>
      </c>
      <c r="F317" s="161" t="s">
        <v>992</v>
      </c>
      <c r="G317" s="118">
        <v>1</v>
      </c>
      <c r="H317" s="152">
        <f>INDEX(Premiums!$G$27:$G$30,MATCH(Hafnia!E317,Premiums!$E$27:$E$30,0))*G317</f>
        <v>1313.4452054794519</v>
      </c>
      <c r="I317" s="186">
        <v>44999</v>
      </c>
      <c r="J317" s="157">
        <v>2019</v>
      </c>
      <c r="K317" s="63">
        <v>2024</v>
      </c>
      <c r="L317" s="56">
        <f t="shared" si="49"/>
        <v>5</v>
      </c>
      <c r="M317" s="1">
        <f t="shared" si="48"/>
        <v>0</v>
      </c>
      <c r="N317" s="184">
        <v>0</v>
      </c>
      <c r="P317" s="4">
        <f>INDEX('Vessel Valuations'!F$34:F$50,MATCH($E317,'Vessel Valuations'!$C$34:$C$50,0))</f>
        <v>7.8477078477077959E-5</v>
      </c>
      <c r="Q317" s="4">
        <f>INDEX('Vessel Valuations'!G$34:G$50,MATCH($E317,'Vessel Valuations'!$C$34:$C$50,0))</f>
        <v>2.6864801864801918E-2</v>
      </c>
      <c r="R317" s="4">
        <f>INDEX('Vessel Valuations'!H$34:H$50,MATCH($E317,'Vessel Valuations'!$C$34:$C$50,0))</f>
        <v>-2.5062160062160075</v>
      </c>
      <c r="S317" s="4">
        <f>INDEX('Vessel Valuations'!I$34:I$50,MATCH($E317,'Vessel Valuations'!$C$34:$C$50,0))</f>
        <v>55.67832167832168</v>
      </c>
      <c r="U317" s="202"/>
      <c r="V317" s="185"/>
      <c r="Z317" s="185"/>
      <c r="AA317" s="185"/>
      <c r="AB317" s="185"/>
      <c r="AC317" s="185"/>
      <c r="AD317" s="185"/>
      <c r="AI317" s="21"/>
      <c r="AJ317" s="21"/>
    </row>
    <row r="318" spans="3:36" s="20" customFormat="1" outlineLevel="1" x14ac:dyDescent="0.2">
      <c r="C318" s="157" t="s">
        <v>1031</v>
      </c>
      <c r="D318" s="157" t="s">
        <v>15</v>
      </c>
      <c r="E318" s="157" t="s">
        <v>15</v>
      </c>
      <c r="F318" s="161" t="s">
        <v>992</v>
      </c>
      <c r="G318" s="118">
        <v>0</v>
      </c>
      <c r="H318" s="152">
        <f>INDEX(Premiums!$G$27:$G$30,MATCH(Hafnia!E318,Premiums!$E$27:$E$30,0))*G318</f>
        <v>0</v>
      </c>
      <c r="I318" s="186">
        <v>44999</v>
      </c>
      <c r="J318" s="157">
        <v>2008</v>
      </c>
      <c r="K318" s="63">
        <v>2024</v>
      </c>
      <c r="L318" s="56">
        <f t="shared" si="49"/>
        <v>16</v>
      </c>
      <c r="M318" s="1">
        <f t="shared" si="48"/>
        <v>0</v>
      </c>
      <c r="N318" s="184">
        <v>0</v>
      </c>
      <c r="P318" s="4">
        <f>INDEX('Vessel Valuations'!F$34:F$50,MATCH($E318,'Vessel Valuations'!$C$34:$C$50,0))</f>
        <v>7.8477078477077959E-5</v>
      </c>
      <c r="Q318" s="4">
        <f>INDEX('Vessel Valuations'!G$34:G$50,MATCH($E318,'Vessel Valuations'!$C$34:$C$50,0))</f>
        <v>2.6864801864801918E-2</v>
      </c>
      <c r="R318" s="4">
        <f>INDEX('Vessel Valuations'!H$34:H$50,MATCH($E318,'Vessel Valuations'!$C$34:$C$50,0))</f>
        <v>-2.5062160062160075</v>
      </c>
      <c r="S318" s="4">
        <f>INDEX('Vessel Valuations'!I$34:I$50,MATCH($E318,'Vessel Valuations'!$C$34:$C$50,0))</f>
        <v>55.67832167832168</v>
      </c>
      <c r="U318" s="202"/>
      <c r="V318" s="185"/>
      <c r="Z318" s="185"/>
      <c r="AA318" s="185"/>
      <c r="AB318" s="185"/>
      <c r="AC318" s="185"/>
      <c r="AD318" s="185"/>
      <c r="AI318" s="21"/>
      <c r="AJ318" s="21"/>
    </row>
    <row r="319" spans="3:36" s="20" customFormat="1" outlineLevel="1" x14ac:dyDescent="0.2">
      <c r="C319" s="157" t="s">
        <v>1032</v>
      </c>
      <c r="D319" s="157" t="s">
        <v>15</v>
      </c>
      <c r="E319" s="157" t="s">
        <v>15</v>
      </c>
      <c r="F319" s="161" t="s">
        <v>992</v>
      </c>
      <c r="G319" s="118">
        <v>0</v>
      </c>
      <c r="H319" s="152">
        <f>INDEX(Premiums!$G$27:$G$30,MATCH(Hafnia!E319,Premiums!$E$27:$E$30,0))*G319</f>
        <v>0</v>
      </c>
      <c r="I319" s="186">
        <v>44997</v>
      </c>
      <c r="J319" s="157">
        <v>2006</v>
      </c>
      <c r="K319" s="63">
        <v>2024</v>
      </c>
      <c r="L319" s="56">
        <f t="shared" si="49"/>
        <v>18</v>
      </c>
      <c r="M319" s="1">
        <f t="shared" si="48"/>
        <v>0</v>
      </c>
      <c r="N319" s="184">
        <v>0</v>
      </c>
      <c r="P319" s="4">
        <f>INDEX('Vessel Valuations'!F$34:F$50,MATCH($E319,'Vessel Valuations'!$C$34:$C$50,0))</f>
        <v>7.8477078477077959E-5</v>
      </c>
      <c r="Q319" s="4">
        <f>INDEX('Vessel Valuations'!G$34:G$50,MATCH($E319,'Vessel Valuations'!$C$34:$C$50,0))</f>
        <v>2.6864801864801918E-2</v>
      </c>
      <c r="R319" s="4">
        <f>INDEX('Vessel Valuations'!H$34:H$50,MATCH($E319,'Vessel Valuations'!$C$34:$C$50,0))</f>
        <v>-2.5062160062160075</v>
      </c>
      <c r="S319" s="4">
        <f>INDEX('Vessel Valuations'!I$34:I$50,MATCH($E319,'Vessel Valuations'!$C$34:$C$50,0))</f>
        <v>55.67832167832168</v>
      </c>
      <c r="U319" s="202"/>
      <c r="V319" s="185"/>
      <c r="Z319" s="185"/>
      <c r="AA319" s="185"/>
      <c r="AB319" s="185"/>
      <c r="AC319" s="185"/>
      <c r="AD319" s="185"/>
      <c r="AI319" s="21"/>
      <c r="AJ319" s="21"/>
    </row>
    <row r="320" spans="3:36" s="20" customFormat="1" outlineLevel="1" x14ac:dyDescent="0.2">
      <c r="C320" s="157" t="s">
        <v>1033</v>
      </c>
      <c r="D320" s="157" t="s">
        <v>15</v>
      </c>
      <c r="E320" s="157" t="s">
        <v>15</v>
      </c>
      <c r="F320" s="161" t="s">
        <v>992</v>
      </c>
      <c r="G320" s="118">
        <v>0</v>
      </c>
      <c r="H320" s="152">
        <f>INDEX(Premiums!$G$27:$G$30,MATCH(Hafnia!E320,Premiums!$E$27:$E$30,0))*G320</f>
        <v>0</v>
      </c>
      <c r="I320" s="186">
        <v>39996</v>
      </c>
      <c r="J320" s="157">
        <v>2010</v>
      </c>
      <c r="K320" s="63">
        <v>2024</v>
      </c>
      <c r="L320" s="56">
        <f t="shared" si="49"/>
        <v>14</v>
      </c>
      <c r="M320" s="1">
        <f t="shared" si="48"/>
        <v>0</v>
      </c>
      <c r="N320" s="184">
        <v>0</v>
      </c>
      <c r="P320" s="4">
        <f>INDEX('Vessel Valuations'!F$34:F$50,MATCH($E320,'Vessel Valuations'!$C$34:$C$50,0))</f>
        <v>7.8477078477077959E-5</v>
      </c>
      <c r="Q320" s="4">
        <f>INDEX('Vessel Valuations'!G$34:G$50,MATCH($E320,'Vessel Valuations'!$C$34:$C$50,0))</f>
        <v>2.6864801864801918E-2</v>
      </c>
      <c r="R320" s="4">
        <f>INDEX('Vessel Valuations'!H$34:H$50,MATCH($E320,'Vessel Valuations'!$C$34:$C$50,0))</f>
        <v>-2.5062160062160075</v>
      </c>
      <c r="S320" s="4">
        <f>INDEX('Vessel Valuations'!I$34:I$50,MATCH($E320,'Vessel Valuations'!$C$34:$C$50,0))</f>
        <v>55.67832167832168</v>
      </c>
      <c r="U320" s="202"/>
      <c r="V320" s="185"/>
      <c r="Z320" s="185"/>
      <c r="AA320" s="185"/>
      <c r="AB320" s="185"/>
      <c r="AC320" s="185"/>
      <c r="AD320" s="185"/>
      <c r="AI320" s="21"/>
      <c r="AJ320" s="21"/>
    </row>
    <row r="321" spans="3:36" s="20" customFormat="1" outlineLevel="1" x14ac:dyDescent="0.2">
      <c r="C321" s="157" t="s">
        <v>1034</v>
      </c>
      <c r="D321" s="157" t="s">
        <v>1035</v>
      </c>
      <c r="E321" s="157" t="s">
        <v>15</v>
      </c>
      <c r="F321" s="161" t="s">
        <v>992</v>
      </c>
      <c r="G321" s="118">
        <v>0</v>
      </c>
      <c r="H321" s="152">
        <f>INDEX(Premiums!$G$27:$G$30,MATCH(Hafnia!E321,Premiums!$E$27:$E$30,0))*G321</f>
        <v>0</v>
      </c>
      <c r="I321" s="186">
        <v>39988</v>
      </c>
      <c r="J321" s="157">
        <v>2007</v>
      </c>
      <c r="K321" s="63">
        <v>2024</v>
      </c>
      <c r="L321" s="56">
        <f t="shared" si="49"/>
        <v>17</v>
      </c>
      <c r="M321" s="1">
        <f t="shared" si="48"/>
        <v>0</v>
      </c>
      <c r="N321" s="184">
        <v>0</v>
      </c>
      <c r="P321" s="4">
        <f>INDEX('Vessel Valuations'!F$34:F$50,MATCH($E321,'Vessel Valuations'!$C$34:$C$50,0))</f>
        <v>7.8477078477077959E-5</v>
      </c>
      <c r="Q321" s="4">
        <f>INDEX('Vessel Valuations'!G$34:G$50,MATCH($E321,'Vessel Valuations'!$C$34:$C$50,0))</f>
        <v>2.6864801864801918E-2</v>
      </c>
      <c r="R321" s="4">
        <f>INDEX('Vessel Valuations'!H$34:H$50,MATCH($E321,'Vessel Valuations'!$C$34:$C$50,0))</f>
        <v>-2.5062160062160075</v>
      </c>
      <c r="S321" s="4">
        <f>INDEX('Vessel Valuations'!I$34:I$50,MATCH($E321,'Vessel Valuations'!$C$34:$C$50,0))</f>
        <v>55.67832167832168</v>
      </c>
      <c r="U321" s="202"/>
      <c r="V321" s="185"/>
      <c r="Z321" s="185"/>
      <c r="AA321" s="185"/>
      <c r="AB321" s="185"/>
      <c r="AC321" s="185"/>
      <c r="AD321" s="185"/>
      <c r="AI321" s="21"/>
      <c r="AJ321" s="21"/>
    </row>
    <row r="322" spans="3:36" s="20" customFormat="1" outlineLevel="1" x14ac:dyDescent="0.2">
      <c r="C322" s="157" t="s">
        <v>1036</v>
      </c>
      <c r="D322" s="157" t="s">
        <v>1035</v>
      </c>
      <c r="E322" s="157" t="s">
        <v>15</v>
      </c>
      <c r="F322" s="161" t="s">
        <v>992</v>
      </c>
      <c r="G322" s="118">
        <v>0</v>
      </c>
      <c r="H322" s="152">
        <f>INDEX(Premiums!$G$27:$G$30,MATCH(Hafnia!E322,Premiums!$E$27:$E$30,0))*G322</f>
        <v>0</v>
      </c>
      <c r="I322" s="186">
        <v>39793</v>
      </c>
      <c r="J322" s="157">
        <v>2007</v>
      </c>
      <c r="K322" s="63">
        <v>2024</v>
      </c>
      <c r="L322" s="56">
        <f t="shared" si="49"/>
        <v>17</v>
      </c>
      <c r="M322" s="1">
        <f t="shared" si="48"/>
        <v>0</v>
      </c>
      <c r="N322" s="184">
        <v>0</v>
      </c>
      <c r="P322" s="4">
        <f>INDEX('Vessel Valuations'!F$34:F$50,MATCH($E322,'Vessel Valuations'!$C$34:$C$50,0))</f>
        <v>7.8477078477077959E-5</v>
      </c>
      <c r="Q322" s="4">
        <f>INDEX('Vessel Valuations'!G$34:G$50,MATCH($E322,'Vessel Valuations'!$C$34:$C$50,0))</f>
        <v>2.6864801864801918E-2</v>
      </c>
      <c r="R322" s="4">
        <f>INDEX('Vessel Valuations'!H$34:H$50,MATCH($E322,'Vessel Valuations'!$C$34:$C$50,0))</f>
        <v>-2.5062160062160075</v>
      </c>
      <c r="S322" s="4">
        <f>INDEX('Vessel Valuations'!I$34:I$50,MATCH($E322,'Vessel Valuations'!$C$34:$C$50,0))</f>
        <v>55.67832167832168</v>
      </c>
      <c r="U322" s="202"/>
      <c r="V322" s="185"/>
      <c r="Z322" s="185"/>
      <c r="AA322" s="185"/>
      <c r="AB322" s="185"/>
      <c r="AC322" s="185"/>
      <c r="AD322" s="185"/>
      <c r="AI322" s="21"/>
      <c r="AJ322" s="21"/>
    </row>
    <row r="323" spans="3:36" s="20" customFormat="1" outlineLevel="1" x14ac:dyDescent="0.2">
      <c r="C323" s="157" t="s">
        <v>1037</v>
      </c>
      <c r="D323" s="157" t="s">
        <v>1035</v>
      </c>
      <c r="E323" s="157" t="s">
        <v>15</v>
      </c>
      <c r="F323" s="161" t="s">
        <v>992</v>
      </c>
      <c r="G323" s="118">
        <v>0</v>
      </c>
      <c r="H323" s="152">
        <f>INDEX(Premiums!$G$27:$G$30,MATCH(Hafnia!E323,Premiums!$E$27:$E$30,0))*G323</f>
        <v>0</v>
      </c>
      <c r="I323" s="186">
        <v>38492</v>
      </c>
      <c r="J323" s="157">
        <v>2006</v>
      </c>
      <c r="K323" s="63">
        <v>2024</v>
      </c>
      <c r="L323" s="56">
        <f t="shared" si="49"/>
        <v>18</v>
      </c>
      <c r="M323" s="1">
        <f t="shared" si="48"/>
        <v>0</v>
      </c>
      <c r="N323" s="184">
        <v>0</v>
      </c>
      <c r="P323" s="4">
        <f>INDEX('Vessel Valuations'!F$34:F$50,MATCH($E323,'Vessel Valuations'!$C$34:$C$50,0))</f>
        <v>7.8477078477077959E-5</v>
      </c>
      <c r="Q323" s="4">
        <f>INDEX('Vessel Valuations'!G$34:G$50,MATCH($E323,'Vessel Valuations'!$C$34:$C$50,0))</f>
        <v>2.6864801864801918E-2</v>
      </c>
      <c r="R323" s="4">
        <f>INDEX('Vessel Valuations'!H$34:H$50,MATCH($E323,'Vessel Valuations'!$C$34:$C$50,0))</f>
        <v>-2.5062160062160075</v>
      </c>
      <c r="S323" s="4">
        <f>INDEX('Vessel Valuations'!I$34:I$50,MATCH($E323,'Vessel Valuations'!$C$34:$C$50,0))</f>
        <v>55.67832167832168</v>
      </c>
      <c r="U323" s="202"/>
      <c r="V323" s="185"/>
      <c r="Z323" s="185"/>
      <c r="AA323" s="185"/>
      <c r="AB323" s="185"/>
      <c r="AC323" s="185"/>
      <c r="AD323" s="185"/>
      <c r="AI323" s="21"/>
      <c r="AJ323" s="21"/>
    </row>
    <row r="324" spans="3:36" s="20" customFormat="1" outlineLevel="1" x14ac:dyDescent="0.2">
      <c r="C324" s="157" t="s">
        <v>1038</v>
      </c>
      <c r="D324" s="157" t="s">
        <v>1035</v>
      </c>
      <c r="E324" s="157" t="s">
        <v>15</v>
      </c>
      <c r="F324" s="161" t="s">
        <v>992</v>
      </c>
      <c r="G324" s="118">
        <v>0</v>
      </c>
      <c r="H324" s="152">
        <f>INDEX(Premiums!$G$27:$G$30,MATCH(Hafnia!E324,Premiums!$E$27:$E$30,0))*G324</f>
        <v>0</v>
      </c>
      <c r="I324" s="186">
        <v>38461</v>
      </c>
      <c r="J324" s="157">
        <v>2006</v>
      </c>
      <c r="K324" s="63">
        <v>2024</v>
      </c>
      <c r="L324" s="56">
        <f t="shared" si="49"/>
        <v>18</v>
      </c>
      <c r="M324" s="1">
        <f t="shared" si="48"/>
        <v>0</v>
      </c>
      <c r="N324" s="184">
        <v>0</v>
      </c>
      <c r="P324" s="4">
        <f>INDEX('Vessel Valuations'!F$34:F$50,MATCH($E324,'Vessel Valuations'!$C$34:$C$50,0))</f>
        <v>7.8477078477077959E-5</v>
      </c>
      <c r="Q324" s="4">
        <f>INDEX('Vessel Valuations'!G$34:G$50,MATCH($E324,'Vessel Valuations'!$C$34:$C$50,0))</f>
        <v>2.6864801864801918E-2</v>
      </c>
      <c r="R324" s="4">
        <f>INDEX('Vessel Valuations'!H$34:H$50,MATCH($E324,'Vessel Valuations'!$C$34:$C$50,0))</f>
        <v>-2.5062160062160075</v>
      </c>
      <c r="S324" s="4">
        <f>INDEX('Vessel Valuations'!I$34:I$50,MATCH($E324,'Vessel Valuations'!$C$34:$C$50,0))</f>
        <v>55.67832167832168</v>
      </c>
      <c r="U324" s="202"/>
      <c r="V324" s="185"/>
      <c r="Z324" s="185"/>
      <c r="AA324" s="185"/>
      <c r="AB324" s="185"/>
      <c r="AC324" s="185"/>
      <c r="AD324" s="185"/>
      <c r="AI324" s="21"/>
      <c r="AJ324" s="21"/>
    </row>
    <row r="325" spans="3:36" s="20" customFormat="1" outlineLevel="1" x14ac:dyDescent="0.2">
      <c r="C325" s="157" t="s">
        <v>1039</v>
      </c>
      <c r="D325" s="157" t="s">
        <v>1035</v>
      </c>
      <c r="E325" s="157" t="s">
        <v>15</v>
      </c>
      <c r="F325" s="161" t="s">
        <v>992</v>
      </c>
      <c r="G325" s="118">
        <v>0</v>
      </c>
      <c r="H325" s="152">
        <f>INDEX(Premiums!$G$27:$G$30,MATCH(Hafnia!E325,Premiums!$E$27:$E$30,0))*G325</f>
        <v>0</v>
      </c>
      <c r="I325" s="186">
        <v>38065</v>
      </c>
      <c r="J325" s="157">
        <v>2007</v>
      </c>
      <c r="K325" s="63">
        <v>2024</v>
      </c>
      <c r="L325" s="56">
        <f t="shared" si="49"/>
        <v>17</v>
      </c>
      <c r="M325" s="1">
        <f t="shared" si="48"/>
        <v>0</v>
      </c>
      <c r="N325" s="184">
        <v>0</v>
      </c>
      <c r="P325" s="4">
        <f>INDEX('Vessel Valuations'!F$34:F$50,MATCH($E325,'Vessel Valuations'!$C$34:$C$50,0))</f>
        <v>7.8477078477077959E-5</v>
      </c>
      <c r="Q325" s="4">
        <f>INDEX('Vessel Valuations'!G$34:G$50,MATCH($E325,'Vessel Valuations'!$C$34:$C$50,0))</f>
        <v>2.6864801864801918E-2</v>
      </c>
      <c r="R325" s="4">
        <f>INDEX('Vessel Valuations'!H$34:H$50,MATCH($E325,'Vessel Valuations'!$C$34:$C$50,0))</f>
        <v>-2.5062160062160075</v>
      </c>
      <c r="S325" s="4">
        <f>INDEX('Vessel Valuations'!I$34:I$50,MATCH($E325,'Vessel Valuations'!$C$34:$C$50,0))</f>
        <v>55.67832167832168</v>
      </c>
      <c r="U325" s="202"/>
      <c r="V325" s="185"/>
      <c r="Z325" s="185"/>
      <c r="AA325" s="185"/>
      <c r="AB325" s="185"/>
      <c r="AC325" s="185"/>
      <c r="AD325" s="185"/>
      <c r="AI325" s="21"/>
      <c r="AJ325" s="21"/>
    </row>
    <row r="326" spans="3:36" s="20" customFormat="1" outlineLevel="1" x14ac:dyDescent="0.2">
      <c r="C326" s="157" t="s">
        <v>1040</v>
      </c>
      <c r="D326" s="157" t="s">
        <v>1035</v>
      </c>
      <c r="E326" s="157" t="s">
        <v>15</v>
      </c>
      <c r="F326" s="161" t="s">
        <v>992</v>
      </c>
      <c r="G326" s="118">
        <v>1</v>
      </c>
      <c r="H326" s="152">
        <f>INDEX(Premiums!$G$27:$G$30,MATCH(Hafnia!E326,Premiums!$E$27:$E$30,0))*G326</f>
        <v>1313.4452054794519</v>
      </c>
      <c r="I326" s="186">
        <v>37596</v>
      </c>
      <c r="J326" s="157">
        <v>2016</v>
      </c>
      <c r="K326" s="63">
        <v>2024</v>
      </c>
      <c r="L326" s="56">
        <f t="shared" si="49"/>
        <v>8</v>
      </c>
      <c r="M326" s="1">
        <f t="shared" si="48"/>
        <v>0</v>
      </c>
      <c r="N326" s="184">
        <v>0</v>
      </c>
      <c r="P326" s="4">
        <f>INDEX('Vessel Valuations'!F$34:F$50,MATCH($E326,'Vessel Valuations'!$C$34:$C$50,0))</f>
        <v>7.8477078477077959E-5</v>
      </c>
      <c r="Q326" s="4">
        <f>INDEX('Vessel Valuations'!G$34:G$50,MATCH($E326,'Vessel Valuations'!$C$34:$C$50,0))</f>
        <v>2.6864801864801918E-2</v>
      </c>
      <c r="R326" s="4">
        <f>INDEX('Vessel Valuations'!H$34:H$50,MATCH($E326,'Vessel Valuations'!$C$34:$C$50,0))</f>
        <v>-2.5062160062160075</v>
      </c>
      <c r="S326" s="4">
        <f>INDEX('Vessel Valuations'!I$34:I$50,MATCH($E326,'Vessel Valuations'!$C$34:$C$50,0))</f>
        <v>55.67832167832168</v>
      </c>
      <c r="U326" s="202"/>
      <c r="V326" s="185"/>
      <c r="Z326" s="185"/>
      <c r="AA326" s="185"/>
      <c r="AB326" s="185"/>
      <c r="AC326" s="185"/>
      <c r="AD326" s="185"/>
      <c r="AI326" s="21"/>
      <c r="AJ326" s="21"/>
    </row>
    <row r="327" spans="3:36" s="20" customFormat="1" outlineLevel="1" x14ac:dyDescent="0.2">
      <c r="C327" s="157" t="s">
        <v>1041</v>
      </c>
      <c r="D327" s="157" t="s">
        <v>1035</v>
      </c>
      <c r="E327" s="157" t="s">
        <v>15</v>
      </c>
      <c r="F327" s="161" t="s">
        <v>992</v>
      </c>
      <c r="G327" s="118">
        <v>1</v>
      </c>
      <c r="H327" s="152">
        <f>INDEX(Premiums!$G$27:$G$30,MATCH(Hafnia!E327,Premiums!$E$27:$E$30,0))*G327</f>
        <v>1313.4452054794519</v>
      </c>
      <c r="I327" s="186">
        <v>37596</v>
      </c>
      <c r="J327" s="157">
        <v>2016</v>
      </c>
      <c r="K327" s="63">
        <v>2024</v>
      </c>
      <c r="L327" s="56">
        <f t="shared" si="49"/>
        <v>8</v>
      </c>
      <c r="M327" s="1">
        <f t="shared" si="48"/>
        <v>0</v>
      </c>
      <c r="N327" s="184">
        <v>0</v>
      </c>
      <c r="P327" s="4">
        <f>INDEX('Vessel Valuations'!F$34:F$50,MATCH($E327,'Vessel Valuations'!$C$34:$C$50,0))</f>
        <v>7.8477078477077959E-5</v>
      </c>
      <c r="Q327" s="4">
        <f>INDEX('Vessel Valuations'!G$34:G$50,MATCH($E327,'Vessel Valuations'!$C$34:$C$50,0))</f>
        <v>2.6864801864801918E-2</v>
      </c>
      <c r="R327" s="4">
        <f>INDEX('Vessel Valuations'!H$34:H$50,MATCH($E327,'Vessel Valuations'!$C$34:$C$50,0))</f>
        <v>-2.5062160062160075</v>
      </c>
      <c r="S327" s="4">
        <f>INDEX('Vessel Valuations'!I$34:I$50,MATCH($E327,'Vessel Valuations'!$C$34:$C$50,0))</f>
        <v>55.67832167832168</v>
      </c>
      <c r="U327" s="202"/>
      <c r="V327" s="185"/>
      <c r="Z327" s="185"/>
      <c r="AA327" s="185"/>
      <c r="AB327" s="185"/>
      <c r="AC327" s="185"/>
      <c r="AD327" s="185"/>
      <c r="AI327" s="21"/>
      <c r="AJ327" s="21"/>
    </row>
    <row r="328" spans="3:36" s="20" customFormat="1" outlineLevel="1" x14ac:dyDescent="0.2">
      <c r="C328" s="157" t="s">
        <v>1042</v>
      </c>
      <c r="D328" s="157" t="s">
        <v>1035</v>
      </c>
      <c r="E328" s="157" t="s">
        <v>15</v>
      </c>
      <c r="F328" s="161" t="s">
        <v>992</v>
      </c>
      <c r="G328" s="118">
        <v>1</v>
      </c>
      <c r="H328" s="152">
        <f>INDEX(Premiums!$G$27:$G$30,MATCH(Hafnia!E328,Premiums!$E$27:$E$30,0))*G328</f>
        <v>1313.4452054794519</v>
      </c>
      <c r="I328" s="186">
        <v>37596</v>
      </c>
      <c r="J328" s="157">
        <v>2016</v>
      </c>
      <c r="K328" s="63">
        <v>2024</v>
      </c>
      <c r="L328" s="56">
        <f t="shared" si="49"/>
        <v>8</v>
      </c>
      <c r="M328" s="1">
        <f t="shared" si="48"/>
        <v>0</v>
      </c>
      <c r="N328" s="184">
        <v>0</v>
      </c>
      <c r="P328" s="4">
        <f>INDEX('Vessel Valuations'!F$34:F$50,MATCH($E328,'Vessel Valuations'!$C$34:$C$50,0))</f>
        <v>7.8477078477077959E-5</v>
      </c>
      <c r="Q328" s="4">
        <f>INDEX('Vessel Valuations'!G$34:G$50,MATCH($E328,'Vessel Valuations'!$C$34:$C$50,0))</f>
        <v>2.6864801864801918E-2</v>
      </c>
      <c r="R328" s="4">
        <f>INDEX('Vessel Valuations'!H$34:H$50,MATCH($E328,'Vessel Valuations'!$C$34:$C$50,0))</f>
        <v>-2.5062160062160075</v>
      </c>
      <c r="S328" s="4">
        <f>INDEX('Vessel Valuations'!I$34:I$50,MATCH($E328,'Vessel Valuations'!$C$34:$C$50,0))</f>
        <v>55.67832167832168</v>
      </c>
      <c r="U328" s="202"/>
      <c r="V328" s="185"/>
      <c r="Z328" s="185"/>
      <c r="AA328" s="185"/>
      <c r="AB328" s="185"/>
      <c r="AC328" s="185"/>
      <c r="AD328" s="185"/>
      <c r="AI328" s="21"/>
      <c r="AJ328" s="21"/>
    </row>
    <row r="329" spans="3:36" s="20" customFormat="1" outlineLevel="1" x14ac:dyDescent="0.2">
      <c r="C329" s="157" t="s">
        <v>1043</v>
      </c>
      <c r="D329" s="157" t="s">
        <v>1035</v>
      </c>
      <c r="E329" s="157" t="s">
        <v>15</v>
      </c>
      <c r="F329" s="161" t="s">
        <v>992</v>
      </c>
      <c r="G329" s="118">
        <v>1</v>
      </c>
      <c r="H329" s="152">
        <f>INDEX(Premiums!$G$27:$G$30,MATCH(Hafnia!E329,Premiums!$E$27:$E$30,0))*G329</f>
        <v>1313.4452054794519</v>
      </c>
      <c r="I329" s="186">
        <v>37596</v>
      </c>
      <c r="J329" s="157">
        <v>2016</v>
      </c>
      <c r="K329" s="63">
        <v>2024</v>
      </c>
      <c r="L329" s="56">
        <f t="shared" si="49"/>
        <v>8</v>
      </c>
      <c r="M329" s="1">
        <f t="shared" si="48"/>
        <v>0</v>
      </c>
      <c r="N329" s="184">
        <v>0</v>
      </c>
      <c r="P329" s="4">
        <f>INDEX('Vessel Valuations'!F$34:F$50,MATCH($E329,'Vessel Valuations'!$C$34:$C$50,0))</f>
        <v>7.8477078477077959E-5</v>
      </c>
      <c r="Q329" s="4">
        <f>INDEX('Vessel Valuations'!G$34:G$50,MATCH($E329,'Vessel Valuations'!$C$34:$C$50,0))</f>
        <v>2.6864801864801918E-2</v>
      </c>
      <c r="R329" s="4">
        <f>INDEX('Vessel Valuations'!H$34:H$50,MATCH($E329,'Vessel Valuations'!$C$34:$C$50,0))</f>
        <v>-2.5062160062160075</v>
      </c>
      <c r="S329" s="4">
        <f>INDEX('Vessel Valuations'!I$34:I$50,MATCH($E329,'Vessel Valuations'!$C$34:$C$50,0))</f>
        <v>55.67832167832168</v>
      </c>
      <c r="U329" s="202"/>
      <c r="V329" s="185"/>
      <c r="Z329" s="185"/>
      <c r="AA329" s="185"/>
      <c r="AB329" s="185"/>
      <c r="AC329" s="185"/>
      <c r="AD329" s="185"/>
      <c r="AI329" s="21"/>
      <c r="AJ329" s="21"/>
    </row>
    <row r="330" spans="3:36" s="20" customFormat="1" outlineLevel="1" x14ac:dyDescent="0.2">
      <c r="C330" s="157" t="s">
        <v>1044</v>
      </c>
      <c r="D330" s="157" t="s">
        <v>1035</v>
      </c>
      <c r="E330" s="157" t="s">
        <v>15</v>
      </c>
      <c r="F330" s="161" t="s">
        <v>992</v>
      </c>
      <c r="G330" s="118">
        <v>1</v>
      </c>
      <c r="H330" s="152">
        <f>INDEX(Premiums!$G$27:$G$30,MATCH(Hafnia!E330,Premiums!$E$27:$E$30,0))*G330</f>
        <v>1313.4452054794519</v>
      </c>
      <c r="I330" s="186">
        <v>37596</v>
      </c>
      <c r="J330" s="157">
        <v>2016</v>
      </c>
      <c r="K330" s="63">
        <v>2024</v>
      </c>
      <c r="L330" s="56">
        <f t="shared" si="49"/>
        <v>8</v>
      </c>
      <c r="M330" s="1">
        <f t="shared" si="48"/>
        <v>0</v>
      </c>
      <c r="N330" s="184">
        <v>0</v>
      </c>
      <c r="P330" s="4">
        <f>INDEX('Vessel Valuations'!F$34:F$50,MATCH($E330,'Vessel Valuations'!$C$34:$C$50,0))</f>
        <v>7.8477078477077959E-5</v>
      </c>
      <c r="Q330" s="4">
        <f>INDEX('Vessel Valuations'!G$34:G$50,MATCH($E330,'Vessel Valuations'!$C$34:$C$50,0))</f>
        <v>2.6864801864801918E-2</v>
      </c>
      <c r="R330" s="4">
        <f>INDEX('Vessel Valuations'!H$34:H$50,MATCH($E330,'Vessel Valuations'!$C$34:$C$50,0))</f>
        <v>-2.5062160062160075</v>
      </c>
      <c r="S330" s="4">
        <f>INDEX('Vessel Valuations'!I$34:I$50,MATCH($E330,'Vessel Valuations'!$C$34:$C$50,0))</f>
        <v>55.67832167832168</v>
      </c>
      <c r="U330" s="202"/>
      <c r="V330" s="185"/>
      <c r="Z330" s="185"/>
      <c r="AA330" s="185"/>
      <c r="AB330" s="185"/>
      <c r="AC330" s="185"/>
      <c r="AD330" s="185"/>
      <c r="AI330" s="21"/>
      <c r="AJ330" s="21"/>
    </row>
    <row r="331" spans="3:36" s="20" customFormat="1" outlineLevel="1" x14ac:dyDescent="0.2">
      <c r="C331" s="157" t="s">
        <v>1045</v>
      </c>
      <c r="D331" s="157" t="s">
        <v>1035</v>
      </c>
      <c r="E331" s="157" t="s">
        <v>15</v>
      </c>
      <c r="F331" s="161" t="s">
        <v>992</v>
      </c>
      <c r="G331" s="118">
        <v>1</v>
      </c>
      <c r="H331" s="152">
        <f>INDEX(Premiums!$G$27:$G$30,MATCH(Hafnia!E331,Premiums!$E$27:$E$30,0))*G331</f>
        <v>1313.4452054794519</v>
      </c>
      <c r="I331" s="186">
        <v>37596</v>
      </c>
      <c r="J331" s="157">
        <v>2016</v>
      </c>
      <c r="K331" s="63">
        <v>2024</v>
      </c>
      <c r="L331" s="56">
        <f t="shared" si="49"/>
        <v>8</v>
      </c>
      <c r="M331" s="1">
        <f t="shared" si="48"/>
        <v>0</v>
      </c>
      <c r="N331" s="184">
        <v>0</v>
      </c>
      <c r="P331" s="4">
        <f>INDEX('Vessel Valuations'!F$34:F$50,MATCH($E331,'Vessel Valuations'!$C$34:$C$50,0))</f>
        <v>7.8477078477077959E-5</v>
      </c>
      <c r="Q331" s="4">
        <f>INDEX('Vessel Valuations'!G$34:G$50,MATCH($E331,'Vessel Valuations'!$C$34:$C$50,0))</f>
        <v>2.6864801864801918E-2</v>
      </c>
      <c r="R331" s="4">
        <f>INDEX('Vessel Valuations'!H$34:H$50,MATCH($E331,'Vessel Valuations'!$C$34:$C$50,0))</f>
        <v>-2.5062160062160075</v>
      </c>
      <c r="S331" s="4">
        <f>INDEX('Vessel Valuations'!I$34:I$50,MATCH($E331,'Vessel Valuations'!$C$34:$C$50,0))</f>
        <v>55.67832167832168</v>
      </c>
      <c r="U331" s="202"/>
      <c r="V331" s="185"/>
      <c r="Z331" s="185"/>
      <c r="AA331" s="185"/>
      <c r="AB331" s="185"/>
      <c r="AC331" s="185"/>
      <c r="AD331" s="185"/>
      <c r="AI331" s="21"/>
      <c r="AJ331" s="21"/>
    </row>
    <row r="332" spans="3:36" s="20" customFormat="1" outlineLevel="1" x14ac:dyDescent="0.2">
      <c r="C332" s="157" t="s">
        <v>1046</v>
      </c>
      <c r="D332" s="157" t="s">
        <v>1035</v>
      </c>
      <c r="E332" s="157" t="s">
        <v>15</v>
      </c>
      <c r="F332" s="161" t="s">
        <v>992</v>
      </c>
      <c r="G332" s="118">
        <v>0</v>
      </c>
      <c r="H332" s="152">
        <f>INDEX(Premiums!$G$27:$G$30,MATCH(Hafnia!E332,Premiums!$E$27:$E$30,0))*G332</f>
        <v>0</v>
      </c>
      <c r="I332" s="186">
        <v>34671</v>
      </c>
      <c r="J332" s="157">
        <v>2006</v>
      </c>
      <c r="K332" s="63">
        <v>2024</v>
      </c>
      <c r="L332" s="56">
        <f t="shared" si="49"/>
        <v>18</v>
      </c>
      <c r="M332" s="1">
        <f t="shared" si="48"/>
        <v>0</v>
      </c>
      <c r="N332" s="184">
        <v>0</v>
      </c>
      <c r="P332" s="4">
        <f>INDEX('Vessel Valuations'!F$34:F$50,MATCH($E332,'Vessel Valuations'!$C$34:$C$50,0))</f>
        <v>7.8477078477077959E-5</v>
      </c>
      <c r="Q332" s="4">
        <f>INDEX('Vessel Valuations'!G$34:G$50,MATCH($E332,'Vessel Valuations'!$C$34:$C$50,0))</f>
        <v>2.6864801864801918E-2</v>
      </c>
      <c r="R332" s="4">
        <f>INDEX('Vessel Valuations'!H$34:H$50,MATCH($E332,'Vessel Valuations'!$C$34:$C$50,0))</f>
        <v>-2.5062160062160075</v>
      </c>
      <c r="S332" s="4">
        <f>INDEX('Vessel Valuations'!I$34:I$50,MATCH($E332,'Vessel Valuations'!$C$34:$C$50,0))</f>
        <v>55.67832167832168</v>
      </c>
      <c r="U332" s="202"/>
      <c r="V332" s="185"/>
      <c r="Z332" s="185"/>
      <c r="AA332" s="185"/>
      <c r="AB332" s="185"/>
      <c r="AC332" s="185"/>
      <c r="AD332" s="185"/>
      <c r="AI332" s="21"/>
      <c r="AJ332" s="21"/>
    </row>
    <row r="333" spans="3:36" s="20" customFormat="1" outlineLevel="1" x14ac:dyDescent="0.2">
      <c r="C333" s="157" t="s">
        <v>1047</v>
      </c>
      <c r="D333" s="157" t="s">
        <v>1035</v>
      </c>
      <c r="E333" s="157" t="s">
        <v>15</v>
      </c>
      <c r="F333" s="161" t="s">
        <v>992</v>
      </c>
      <c r="G333" s="118">
        <v>0</v>
      </c>
      <c r="H333" s="152">
        <f>INDEX(Premiums!$G$27:$G$30,MATCH(Hafnia!E333,Premiums!$E$27:$E$30,0))*G333</f>
        <v>0</v>
      </c>
      <c r="I333" s="186">
        <v>34671</v>
      </c>
      <c r="J333" s="157">
        <v>2007</v>
      </c>
      <c r="K333" s="63">
        <v>2024</v>
      </c>
      <c r="L333" s="56">
        <f t="shared" si="49"/>
        <v>17</v>
      </c>
      <c r="M333" s="1">
        <f t="shared" si="48"/>
        <v>0</v>
      </c>
      <c r="N333" s="184">
        <v>0</v>
      </c>
      <c r="P333" s="4">
        <f>INDEX('Vessel Valuations'!F$34:F$50,MATCH($E333,'Vessel Valuations'!$C$34:$C$50,0))</f>
        <v>7.8477078477077959E-5</v>
      </c>
      <c r="Q333" s="4">
        <f>INDEX('Vessel Valuations'!G$34:G$50,MATCH($E333,'Vessel Valuations'!$C$34:$C$50,0))</f>
        <v>2.6864801864801918E-2</v>
      </c>
      <c r="R333" s="4">
        <f>INDEX('Vessel Valuations'!H$34:H$50,MATCH($E333,'Vessel Valuations'!$C$34:$C$50,0))</f>
        <v>-2.5062160062160075</v>
      </c>
      <c r="S333" s="4">
        <f>INDEX('Vessel Valuations'!I$34:I$50,MATCH($E333,'Vessel Valuations'!$C$34:$C$50,0))</f>
        <v>55.67832167832168</v>
      </c>
      <c r="U333" s="202"/>
      <c r="V333" s="185"/>
      <c r="Z333" s="185"/>
      <c r="AA333" s="185"/>
      <c r="AB333" s="185"/>
      <c r="AC333" s="185"/>
      <c r="AD333" s="185"/>
      <c r="AI333" s="21"/>
      <c r="AJ333" s="21"/>
    </row>
    <row r="334" spans="3:36" s="20" customFormat="1" outlineLevel="1" x14ac:dyDescent="0.2">
      <c r="C334" s="157" t="s">
        <v>1048</v>
      </c>
      <c r="D334" s="157" t="s">
        <v>1035</v>
      </c>
      <c r="E334" s="157" t="s">
        <v>15</v>
      </c>
      <c r="F334" s="161" t="s">
        <v>992</v>
      </c>
      <c r="G334" s="118">
        <v>0</v>
      </c>
      <c r="H334" s="152">
        <f>INDEX(Premiums!$G$27:$G$30,MATCH(Hafnia!E334,Premiums!$E$27:$E$30,0))*G334</f>
        <v>0</v>
      </c>
      <c r="I334" s="186">
        <v>34530</v>
      </c>
      <c r="J334" s="157">
        <v>2003</v>
      </c>
      <c r="K334" s="63">
        <v>2024</v>
      </c>
      <c r="L334" s="56">
        <f t="shared" si="49"/>
        <v>21</v>
      </c>
      <c r="M334" s="1">
        <f t="shared" si="48"/>
        <v>0</v>
      </c>
      <c r="N334" s="184">
        <v>0</v>
      </c>
      <c r="P334" s="4">
        <f>INDEX('Vessel Valuations'!F$34:F$50,MATCH($E334,'Vessel Valuations'!$C$34:$C$50,0))</f>
        <v>7.8477078477077959E-5</v>
      </c>
      <c r="Q334" s="4">
        <f>INDEX('Vessel Valuations'!G$34:G$50,MATCH($E334,'Vessel Valuations'!$C$34:$C$50,0))</f>
        <v>2.6864801864801918E-2</v>
      </c>
      <c r="R334" s="4">
        <f>INDEX('Vessel Valuations'!H$34:H$50,MATCH($E334,'Vessel Valuations'!$C$34:$C$50,0))</f>
        <v>-2.5062160062160075</v>
      </c>
      <c r="S334" s="4">
        <f>INDEX('Vessel Valuations'!I$34:I$50,MATCH($E334,'Vessel Valuations'!$C$34:$C$50,0))</f>
        <v>55.67832167832168</v>
      </c>
      <c r="U334" s="202"/>
      <c r="V334" s="185"/>
      <c r="Z334" s="185"/>
      <c r="AA334" s="185"/>
      <c r="AB334" s="185"/>
      <c r="AC334" s="185"/>
      <c r="AD334" s="185"/>
      <c r="AI334" s="21"/>
      <c r="AJ334" s="21"/>
    </row>
    <row r="335" spans="3:36" s="20" customFormat="1" outlineLevel="1" x14ac:dyDescent="0.2">
      <c r="C335" s="157" t="s">
        <v>1049</v>
      </c>
      <c r="D335" s="157" t="s">
        <v>1050</v>
      </c>
      <c r="E335" s="157" t="s">
        <v>15</v>
      </c>
      <c r="F335" s="161" t="s">
        <v>992</v>
      </c>
      <c r="G335" s="118">
        <v>0</v>
      </c>
      <c r="H335" s="152">
        <f>INDEX(Premiums!$G$27:$G$30,MATCH(Hafnia!E335,Premiums!$E$27:$E$30,0))*G335</f>
        <v>0</v>
      </c>
      <c r="I335" s="186">
        <v>13054</v>
      </c>
      <c r="J335" s="157">
        <v>2010</v>
      </c>
      <c r="K335" s="63">
        <v>2024</v>
      </c>
      <c r="L335" s="56">
        <f t="shared" si="49"/>
        <v>14</v>
      </c>
      <c r="M335" s="1">
        <f t="shared" si="48"/>
        <v>0</v>
      </c>
      <c r="N335" s="184">
        <v>0</v>
      </c>
      <c r="P335" s="4">
        <f>INDEX('Vessel Valuations'!F$34:F$50,MATCH($E335,'Vessel Valuations'!$C$34:$C$50,0))</f>
        <v>7.8477078477077959E-5</v>
      </c>
      <c r="Q335" s="4">
        <f>INDEX('Vessel Valuations'!G$34:G$50,MATCH($E335,'Vessel Valuations'!$C$34:$C$50,0))</f>
        <v>2.6864801864801918E-2</v>
      </c>
      <c r="R335" s="4">
        <f>INDEX('Vessel Valuations'!H$34:H$50,MATCH($E335,'Vessel Valuations'!$C$34:$C$50,0))</f>
        <v>-2.5062160062160075</v>
      </c>
      <c r="S335" s="4">
        <f>INDEX('Vessel Valuations'!I$34:I$50,MATCH($E335,'Vessel Valuations'!$C$34:$C$50,0))</f>
        <v>55.67832167832168</v>
      </c>
      <c r="U335" s="202"/>
      <c r="V335" s="185"/>
      <c r="Z335" s="185"/>
      <c r="AA335" s="185"/>
      <c r="AB335" s="185"/>
      <c r="AC335" s="185"/>
      <c r="AD335" s="185"/>
      <c r="AI335" s="21"/>
      <c r="AJ335" s="21"/>
    </row>
    <row r="336" spans="3:36" s="20" customFormat="1" outlineLevel="1" x14ac:dyDescent="0.2">
      <c r="C336" s="157" t="s">
        <v>1051</v>
      </c>
      <c r="D336" s="157" t="s">
        <v>1050</v>
      </c>
      <c r="E336" s="157" t="s">
        <v>15</v>
      </c>
      <c r="F336" s="161" t="s">
        <v>992</v>
      </c>
      <c r="G336" s="118">
        <v>0</v>
      </c>
      <c r="H336" s="152">
        <f>INDEX(Premiums!$G$27:$G$30,MATCH(Hafnia!E336,Premiums!$E$27:$E$30,0))*G336</f>
        <v>0</v>
      </c>
      <c r="I336" s="186">
        <v>13022</v>
      </c>
      <c r="J336" s="157">
        <v>2010</v>
      </c>
      <c r="K336" s="63">
        <v>2024</v>
      </c>
      <c r="L336" s="56">
        <f t="shared" si="49"/>
        <v>14</v>
      </c>
      <c r="M336" s="1">
        <f t="shared" si="48"/>
        <v>0</v>
      </c>
      <c r="N336" s="184">
        <v>0</v>
      </c>
      <c r="P336" s="4">
        <f>INDEX('Vessel Valuations'!F$34:F$50,MATCH($E336,'Vessel Valuations'!$C$34:$C$50,0))</f>
        <v>7.8477078477077959E-5</v>
      </c>
      <c r="Q336" s="4">
        <f>INDEX('Vessel Valuations'!G$34:G$50,MATCH($E336,'Vessel Valuations'!$C$34:$C$50,0))</f>
        <v>2.6864801864801918E-2</v>
      </c>
      <c r="R336" s="4">
        <f>INDEX('Vessel Valuations'!H$34:H$50,MATCH($E336,'Vessel Valuations'!$C$34:$C$50,0))</f>
        <v>-2.5062160062160075</v>
      </c>
      <c r="S336" s="4">
        <f>INDEX('Vessel Valuations'!I$34:I$50,MATCH($E336,'Vessel Valuations'!$C$34:$C$50,0))</f>
        <v>55.67832167832168</v>
      </c>
      <c r="U336" s="202"/>
      <c r="V336" s="185"/>
      <c r="Z336" s="185"/>
      <c r="AA336" s="185"/>
      <c r="AB336" s="185"/>
      <c r="AC336" s="185"/>
      <c r="AD336" s="185"/>
      <c r="AI336" s="21"/>
      <c r="AJ336" s="21"/>
    </row>
    <row r="337" spans="3:36" s="20" customFormat="1" outlineLevel="1" x14ac:dyDescent="0.2">
      <c r="C337" s="157" t="s">
        <v>1052</v>
      </c>
      <c r="D337" s="157" t="s">
        <v>1050</v>
      </c>
      <c r="E337" s="157" t="s">
        <v>15</v>
      </c>
      <c r="F337" s="161" t="s">
        <v>992</v>
      </c>
      <c r="G337" s="118">
        <v>0</v>
      </c>
      <c r="H337" s="152">
        <f>INDEX(Premiums!$G$27:$G$30,MATCH(Hafnia!E337,Premiums!$E$27:$E$30,0))*G337</f>
        <v>0</v>
      </c>
      <c r="I337" s="186">
        <v>13021</v>
      </c>
      <c r="J337" s="157">
        <v>2011</v>
      </c>
      <c r="K337" s="63">
        <v>2024</v>
      </c>
      <c r="L337" s="56">
        <f t="shared" si="49"/>
        <v>13</v>
      </c>
      <c r="M337" s="1">
        <f t="shared" si="48"/>
        <v>0</v>
      </c>
      <c r="N337" s="184">
        <v>0</v>
      </c>
      <c r="P337" s="4">
        <f>INDEX('Vessel Valuations'!F$34:F$50,MATCH($E337,'Vessel Valuations'!$C$34:$C$50,0))</f>
        <v>7.8477078477077959E-5</v>
      </c>
      <c r="Q337" s="4">
        <f>INDEX('Vessel Valuations'!G$34:G$50,MATCH($E337,'Vessel Valuations'!$C$34:$C$50,0))</f>
        <v>2.6864801864801918E-2</v>
      </c>
      <c r="R337" s="4">
        <f>INDEX('Vessel Valuations'!H$34:H$50,MATCH($E337,'Vessel Valuations'!$C$34:$C$50,0))</f>
        <v>-2.5062160062160075</v>
      </c>
      <c r="S337" s="4">
        <f>INDEX('Vessel Valuations'!I$34:I$50,MATCH($E337,'Vessel Valuations'!$C$34:$C$50,0))</f>
        <v>55.67832167832168</v>
      </c>
      <c r="U337" s="202"/>
      <c r="V337" s="185"/>
      <c r="Z337" s="185"/>
      <c r="AA337" s="185"/>
      <c r="AB337" s="185"/>
      <c r="AC337" s="185"/>
      <c r="AD337" s="185"/>
      <c r="AI337" s="21"/>
      <c r="AJ337" s="21"/>
    </row>
    <row r="338" spans="3:36" s="20" customFormat="1" outlineLevel="1" x14ac:dyDescent="0.2">
      <c r="C338" s="157" t="s">
        <v>1053</v>
      </c>
      <c r="D338" s="157" t="s">
        <v>1050</v>
      </c>
      <c r="E338" s="157" t="s">
        <v>15</v>
      </c>
      <c r="F338" s="161" t="s">
        <v>992</v>
      </c>
      <c r="G338" s="118">
        <v>0</v>
      </c>
      <c r="H338" s="152">
        <f>INDEX(Premiums!$G$27:$G$30,MATCH(Hafnia!E338,Premiums!$E$27:$E$30,0))*G338</f>
        <v>0</v>
      </c>
      <c r="I338" s="186">
        <v>13020</v>
      </c>
      <c r="J338" s="157">
        <v>2010</v>
      </c>
      <c r="K338" s="63">
        <v>2024</v>
      </c>
      <c r="L338" s="56">
        <f t="shared" si="49"/>
        <v>14</v>
      </c>
      <c r="M338" s="1">
        <f t="shared" si="48"/>
        <v>0</v>
      </c>
      <c r="N338" s="184">
        <v>0</v>
      </c>
      <c r="P338" s="4">
        <f>INDEX('Vessel Valuations'!F$34:F$50,MATCH($E338,'Vessel Valuations'!$C$34:$C$50,0))</f>
        <v>7.8477078477077959E-5</v>
      </c>
      <c r="Q338" s="4">
        <f>INDEX('Vessel Valuations'!G$34:G$50,MATCH($E338,'Vessel Valuations'!$C$34:$C$50,0))</f>
        <v>2.6864801864801918E-2</v>
      </c>
      <c r="R338" s="4">
        <f>INDEX('Vessel Valuations'!H$34:H$50,MATCH($E338,'Vessel Valuations'!$C$34:$C$50,0))</f>
        <v>-2.5062160062160075</v>
      </c>
      <c r="S338" s="4">
        <f>INDEX('Vessel Valuations'!I$34:I$50,MATCH($E338,'Vessel Valuations'!$C$34:$C$50,0))</f>
        <v>55.67832167832168</v>
      </c>
      <c r="U338" s="202"/>
      <c r="V338" s="185"/>
      <c r="Z338" s="185"/>
      <c r="AA338" s="185"/>
      <c r="AB338" s="185"/>
      <c r="AC338" s="185"/>
      <c r="AD338" s="185"/>
      <c r="AI338" s="21"/>
      <c r="AJ338" s="21"/>
    </row>
    <row r="339" spans="3:36" s="20" customFormat="1" outlineLevel="1" x14ac:dyDescent="0.2">
      <c r="C339" s="157" t="s">
        <v>1054</v>
      </c>
      <c r="D339" s="157" t="s">
        <v>1050</v>
      </c>
      <c r="E339" s="157" t="s">
        <v>15</v>
      </c>
      <c r="F339" s="161" t="s">
        <v>992</v>
      </c>
      <c r="G339" s="118">
        <v>0</v>
      </c>
      <c r="H339" s="152">
        <f>INDEX(Premiums!$G$27:$G$30,MATCH(Hafnia!E339,Premiums!$E$27:$E$30,0))*G339</f>
        <v>0</v>
      </c>
      <c r="I339" s="186">
        <v>13019</v>
      </c>
      <c r="J339" s="157">
        <v>2010</v>
      </c>
      <c r="K339" s="63">
        <v>2024</v>
      </c>
      <c r="L339" s="56">
        <f t="shared" si="49"/>
        <v>14</v>
      </c>
      <c r="M339" s="1">
        <f t="shared" si="48"/>
        <v>0</v>
      </c>
      <c r="N339" s="184">
        <v>0</v>
      </c>
      <c r="P339" s="4">
        <f>INDEX('Vessel Valuations'!F$34:F$50,MATCH($E339,'Vessel Valuations'!$C$34:$C$50,0))</f>
        <v>7.8477078477077959E-5</v>
      </c>
      <c r="Q339" s="4">
        <f>INDEX('Vessel Valuations'!G$34:G$50,MATCH($E339,'Vessel Valuations'!$C$34:$C$50,0))</f>
        <v>2.6864801864801918E-2</v>
      </c>
      <c r="R339" s="4">
        <f>INDEX('Vessel Valuations'!H$34:H$50,MATCH($E339,'Vessel Valuations'!$C$34:$C$50,0))</f>
        <v>-2.5062160062160075</v>
      </c>
      <c r="S339" s="4">
        <f>INDEX('Vessel Valuations'!I$34:I$50,MATCH($E339,'Vessel Valuations'!$C$34:$C$50,0))</f>
        <v>55.67832167832168</v>
      </c>
      <c r="U339" s="202"/>
      <c r="V339" s="185"/>
      <c r="Z339" s="185"/>
      <c r="AA339" s="185"/>
      <c r="AB339" s="185"/>
      <c r="AC339" s="185"/>
      <c r="AD339" s="185"/>
      <c r="AI339" s="21"/>
      <c r="AJ339" s="21"/>
    </row>
    <row r="340" spans="3:36" s="20" customFormat="1" outlineLevel="1" x14ac:dyDescent="0.2">
      <c r="C340" s="157" t="s">
        <v>1055</v>
      </c>
      <c r="D340" s="157" t="s">
        <v>1050</v>
      </c>
      <c r="E340" s="157" t="s">
        <v>15</v>
      </c>
      <c r="F340" s="161" t="s">
        <v>992</v>
      </c>
      <c r="G340" s="118">
        <v>0</v>
      </c>
      <c r="H340" s="152">
        <f>INDEX(Premiums!$G$27:$G$30,MATCH(Hafnia!E340,Premiums!$E$27:$E$30,0))*G340</f>
        <v>0</v>
      </c>
      <c r="I340" s="186">
        <v>13012</v>
      </c>
      <c r="J340" s="157">
        <v>2010</v>
      </c>
      <c r="K340" s="63">
        <v>2024</v>
      </c>
      <c r="L340" s="56">
        <f t="shared" si="49"/>
        <v>14</v>
      </c>
      <c r="M340" s="1">
        <f t="shared" si="48"/>
        <v>0</v>
      </c>
      <c r="N340" s="184">
        <v>0</v>
      </c>
      <c r="P340" s="4">
        <f>INDEX('Vessel Valuations'!F$34:F$50,MATCH($E340,'Vessel Valuations'!$C$34:$C$50,0))</f>
        <v>7.8477078477077959E-5</v>
      </c>
      <c r="Q340" s="4">
        <f>INDEX('Vessel Valuations'!G$34:G$50,MATCH($E340,'Vessel Valuations'!$C$34:$C$50,0))</f>
        <v>2.6864801864801918E-2</v>
      </c>
      <c r="R340" s="4">
        <f>INDEX('Vessel Valuations'!H$34:H$50,MATCH($E340,'Vessel Valuations'!$C$34:$C$50,0))</f>
        <v>-2.5062160062160075</v>
      </c>
      <c r="S340" s="4">
        <f>INDEX('Vessel Valuations'!I$34:I$50,MATCH($E340,'Vessel Valuations'!$C$34:$C$50,0))</f>
        <v>55.67832167832168</v>
      </c>
      <c r="U340" s="202"/>
      <c r="V340" s="185"/>
      <c r="Z340" s="185"/>
      <c r="AA340" s="185"/>
      <c r="AB340" s="185"/>
      <c r="AC340" s="185"/>
      <c r="AD340" s="185"/>
      <c r="AI340" s="21"/>
      <c r="AJ340" s="21"/>
    </row>
    <row r="341" spans="3:36" s="20" customFormat="1" outlineLevel="1" x14ac:dyDescent="0.2">
      <c r="C341" s="157" t="s">
        <v>1056</v>
      </c>
      <c r="D341" s="157" t="s">
        <v>1050</v>
      </c>
      <c r="E341" s="157" t="s">
        <v>15</v>
      </c>
      <c r="F341" s="161" t="s">
        <v>992</v>
      </c>
      <c r="G341" s="118">
        <v>0</v>
      </c>
      <c r="H341" s="152">
        <f>INDEX(Premiums!$G$27:$G$30,MATCH(Hafnia!E341,Premiums!$E$27:$E$30,0))*G341</f>
        <v>0</v>
      </c>
      <c r="I341" s="186">
        <v>13010</v>
      </c>
      <c r="J341" s="157">
        <v>2010</v>
      </c>
      <c r="K341" s="63">
        <v>2024</v>
      </c>
      <c r="L341" s="56">
        <f t="shared" si="49"/>
        <v>14</v>
      </c>
      <c r="M341" s="1">
        <f t="shared" si="48"/>
        <v>0</v>
      </c>
      <c r="N341" s="184">
        <v>0</v>
      </c>
      <c r="P341" s="4">
        <f>INDEX('Vessel Valuations'!F$34:F$50,MATCH($E341,'Vessel Valuations'!$C$34:$C$50,0))</f>
        <v>7.8477078477077959E-5</v>
      </c>
      <c r="Q341" s="4">
        <f>INDEX('Vessel Valuations'!G$34:G$50,MATCH($E341,'Vessel Valuations'!$C$34:$C$50,0))</f>
        <v>2.6864801864801918E-2</v>
      </c>
      <c r="R341" s="4">
        <f>INDEX('Vessel Valuations'!H$34:H$50,MATCH($E341,'Vessel Valuations'!$C$34:$C$50,0))</f>
        <v>-2.5062160062160075</v>
      </c>
      <c r="S341" s="4">
        <f>INDEX('Vessel Valuations'!I$34:I$50,MATCH($E341,'Vessel Valuations'!$C$34:$C$50,0))</f>
        <v>55.67832167832168</v>
      </c>
      <c r="U341" s="202"/>
      <c r="V341" s="185"/>
      <c r="Z341" s="185"/>
      <c r="AA341" s="185"/>
      <c r="AB341" s="185"/>
      <c r="AC341" s="185"/>
      <c r="AD341" s="185"/>
      <c r="AI341" s="21"/>
      <c r="AJ341" s="21"/>
    </row>
    <row r="342" spans="3:36" s="20" customFormat="1" outlineLevel="1" x14ac:dyDescent="0.2">
      <c r="C342" s="157" t="s">
        <v>1057</v>
      </c>
      <c r="D342" s="157" t="s">
        <v>1050</v>
      </c>
      <c r="E342" s="157" t="s">
        <v>15</v>
      </c>
      <c r="F342" s="161" t="s">
        <v>992</v>
      </c>
      <c r="G342" s="118">
        <v>0</v>
      </c>
      <c r="H342" s="152">
        <f>INDEX(Premiums!$G$27:$G$30,MATCH(Hafnia!E342,Premiums!$E$27:$E$30,0))*G342</f>
        <v>0</v>
      </c>
      <c r="I342" s="186">
        <v>13006</v>
      </c>
      <c r="J342" s="157">
        <v>2011</v>
      </c>
      <c r="K342" s="63">
        <v>2024</v>
      </c>
      <c r="L342" s="56">
        <f t="shared" si="49"/>
        <v>13</v>
      </c>
      <c r="M342" s="1">
        <f t="shared" si="48"/>
        <v>0</v>
      </c>
      <c r="N342" s="184">
        <v>0</v>
      </c>
      <c r="P342" s="4">
        <f>INDEX('Vessel Valuations'!F$34:F$50,MATCH($E342,'Vessel Valuations'!$C$34:$C$50,0))</f>
        <v>7.8477078477077959E-5</v>
      </c>
      <c r="Q342" s="4">
        <f>INDEX('Vessel Valuations'!G$34:G$50,MATCH($E342,'Vessel Valuations'!$C$34:$C$50,0))</f>
        <v>2.6864801864801918E-2</v>
      </c>
      <c r="R342" s="4">
        <f>INDEX('Vessel Valuations'!H$34:H$50,MATCH($E342,'Vessel Valuations'!$C$34:$C$50,0))</f>
        <v>-2.5062160062160075</v>
      </c>
      <c r="S342" s="4">
        <f>INDEX('Vessel Valuations'!I$34:I$50,MATCH($E342,'Vessel Valuations'!$C$34:$C$50,0))</f>
        <v>55.67832167832168</v>
      </c>
      <c r="U342" s="202"/>
      <c r="V342" s="185"/>
      <c r="Z342" s="185"/>
      <c r="AA342" s="185"/>
      <c r="AB342" s="185"/>
      <c r="AC342" s="185"/>
      <c r="AD342" s="185"/>
      <c r="AI342" s="21"/>
      <c r="AJ342" s="21"/>
    </row>
    <row r="343" spans="3:36" s="20" customFormat="1" outlineLevel="1" x14ac:dyDescent="0.2">
      <c r="C343" s="157" t="s">
        <v>1058</v>
      </c>
      <c r="D343" s="157" t="s">
        <v>1050</v>
      </c>
      <c r="E343" s="157" t="s">
        <v>15</v>
      </c>
      <c r="F343" s="161" t="s">
        <v>992</v>
      </c>
      <c r="G343" s="118">
        <v>0</v>
      </c>
      <c r="H343" s="152">
        <f>INDEX(Premiums!$G$27:$G$30,MATCH(Hafnia!E343,Premiums!$E$27:$E$30,0))*G343</f>
        <v>0</v>
      </c>
      <c r="I343" s="186">
        <v>11673</v>
      </c>
      <c r="J343" s="157">
        <v>2007</v>
      </c>
      <c r="K343" s="63">
        <v>2024</v>
      </c>
      <c r="L343" s="56">
        <f t="shared" si="49"/>
        <v>17</v>
      </c>
      <c r="M343" s="1">
        <f t="shared" si="48"/>
        <v>0</v>
      </c>
      <c r="N343" s="184">
        <v>0</v>
      </c>
      <c r="P343" s="4">
        <f>INDEX('Vessel Valuations'!F$34:F$50,MATCH($E343,'Vessel Valuations'!$C$34:$C$50,0))</f>
        <v>7.8477078477077959E-5</v>
      </c>
      <c r="Q343" s="4">
        <f>INDEX('Vessel Valuations'!G$34:G$50,MATCH($E343,'Vessel Valuations'!$C$34:$C$50,0))</f>
        <v>2.6864801864801918E-2</v>
      </c>
      <c r="R343" s="4">
        <f>INDEX('Vessel Valuations'!H$34:H$50,MATCH($E343,'Vessel Valuations'!$C$34:$C$50,0))</f>
        <v>-2.5062160062160075</v>
      </c>
      <c r="S343" s="4">
        <f>INDEX('Vessel Valuations'!I$34:I$50,MATCH($E343,'Vessel Valuations'!$C$34:$C$50,0))</f>
        <v>55.67832167832168</v>
      </c>
      <c r="U343" s="202"/>
      <c r="V343" s="185"/>
      <c r="Z343" s="185"/>
      <c r="AA343" s="185"/>
      <c r="AB343" s="185"/>
      <c r="AC343" s="185"/>
      <c r="AD343" s="185"/>
      <c r="AI343" s="21"/>
      <c r="AJ343" s="21"/>
    </row>
    <row r="344" spans="3:36" s="20" customFormat="1" outlineLevel="1" x14ac:dyDescent="0.2">
      <c r="C344" s="157" t="s">
        <v>1059</v>
      </c>
      <c r="D344" s="157" t="s">
        <v>1050</v>
      </c>
      <c r="E344" s="157" t="s">
        <v>15</v>
      </c>
      <c r="F344" s="161" t="s">
        <v>992</v>
      </c>
      <c r="G344" s="118">
        <v>0</v>
      </c>
      <c r="H344" s="152">
        <f>INDEX(Premiums!$G$27:$G$30,MATCH(Hafnia!E344,Premiums!$E$27:$E$30,0))*G344</f>
        <v>0</v>
      </c>
      <c r="I344" s="186">
        <v>11673</v>
      </c>
      <c r="J344" s="157">
        <v>2007</v>
      </c>
      <c r="K344" s="63">
        <v>2024</v>
      </c>
      <c r="L344" s="56">
        <f t="shared" si="49"/>
        <v>17</v>
      </c>
      <c r="M344" s="1">
        <f t="shared" si="48"/>
        <v>0</v>
      </c>
      <c r="N344" s="184">
        <v>0</v>
      </c>
      <c r="P344" s="4">
        <f>INDEX('Vessel Valuations'!F$34:F$50,MATCH($E344,'Vessel Valuations'!$C$34:$C$50,0))</f>
        <v>7.8477078477077959E-5</v>
      </c>
      <c r="Q344" s="4">
        <f>INDEX('Vessel Valuations'!G$34:G$50,MATCH($E344,'Vessel Valuations'!$C$34:$C$50,0))</f>
        <v>2.6864801864801918E-2</v>
      </c>
      <c r="R344" s="4">
        <f>INDEX('Vessel Valuations'!H$34:H$50,MATCH($E344,'Vessel Valuations'!$C$34:$C$50,0))</f>
        <v>-2.5062160062160075</v>
      </c>
      <c r="S344" s="4">
        <f>INDEX('Vessel Valuations'!I$34:I$50,MATCH($E344,'Vessel Valuations'!$C$34:$C$50,0))</f>
        <v>55.67832167832168</v>
      </c>
      <c r="U344" s="202"/>
      <c r="V344" s="185"/>
      <c r="Z344" s="185"/>
      <c r="AA344" s="185"/>
      <c r="AB344" s="185"/>
      <c r="AC344" s="185"/>
      <c r="AD344" s="185"/>
      <c r="AI344" s="21"/>
      <c r="AJ344" s="21"/>
    </row>
    <row r="345" spans="3:36" s="20" customFormat="1" outlineLevel="1" x14ac:dyDescent="0.2">
      <c r="C345" s="157" t="s">
        <v>1060</v>
      </c>
      <c r="D345" s="157" t="s">
        <v>1050</v>
      </c>
      <c r="E345" s="157" t="s">
        <v>15</v>
      </c>
      <c r="F345" s="161" t="s">
        <v>992</v>
      </c>
      <c r="G345" s="118">
        <v>0</v>
      </c>
      <c r="H345" s="152">
        <f>INDEX(Premiums!$G$27:$G$30,MATCH(Hafnia!E345,Premiums!$E$27:$E$30,0))*G345</f>
        <v>0</v>
      </c>
      <c r="I345" s="186">
        <v>11320</v>
      </c>
      <c r="J345" s="157">
        <v>2007</v>
      </c>
      <c r="K345" s="63">
        <v>2024</v>
      </c>
      <c r="L345" s="56">
        <f t="shared" si="49"/>
        <v>17</v>
      </c>
      <c r="M345" s="1">
        <f t="shared" si="48"/>
        <v>0</v>
      </c>
      <c r="N345" s="184">
        <v>0</v>
      </c>
      <c r="P345" s="4">
        <f>INDEX('Vessel Valuations'!F$34:F$50,MATCH($E345,'Vessel Valuations'!$C$34:$C$50,0))</f>
        <v>7.8477078477077959E-5</v>
      </c>
      <c r="Q345" s="4">
        <f>INDEX('Vessel Valuations'!G$34:G$50,MATCH($E345,'Vessel Valuations'!$C$34:$C$50,0))</f>
        <v>2.6864801864801918E-2</v>
      </c>
      <c r="R345" s="4">
        <f>INDEX('Vessel Valuations'!H$34:H$50,MATCH($E345,'Vessel Valuations'!$C$34:$C$50,0))</f>
        <v>-2.5062160062160075</v>
      </c>
      <c r="S345" s="4">
        <f>INDEX('Vessel Valuations'!I$34:I$50,MATCH($E345,'Vessel Valuations'!$C$34:$C$50,0))</f>
        <v>55.67832167832168</v>
      </c>
      <c r="U345" s="202"/>
      <c r="V345" s="185"/>
      <c r="Z345" s="185"/>
      <c r="AA345" s="185"/>
      <c r="AB345" s="185"/>
      <c r="AC345" s="185"/>
      <c r="AD345" s="185"/>
      <c r="AI345" s="21"/>
      <c r="AJ345" s="21"/>
    </row>
    <row r="346" spans="3:36" s="20" customFormat="1" outlineLevel="1" x14ac:dyDescent="0.2">
      <c r="C346" s="157" t="s">
        <v>1061</v>
      </c>
      <c r="D346" s="157" t="s">
        <v>1050</v>
      </c>
      <c r="E346" s="157" t="s">
        <v>15</v>
      </c>
      <c r="F346" s="161" t="s">
        <v>992</v>
      </c>
      <c r="G346" s="118">
        <v>0</v>
      </c>
      <c r="H346" s="152">
        <f>INDEX(Premiums!$G$27:$G$30,MATCH(Hafnia!E346,Premiums!$E$27:$E$30,0))*G346</f>
        <v>0</v>
      </c>
      <c r="I346" s="186">
        <v>11276</v>
      </c>
      <c r="J346" s="157">
        <v>2006</v>
      </c>
      <c r="K346" s="63">
        <v>2024</v>
      </c>
      <c r="L346" s="56">
        <f t="shared" si="49"/>
        <v>18</v>
      </c>
      <c r="M346" s="1">
        <f t="shared" si="48"/>
        <v>0</v>
      </c>
      <c r="N346" s="184">
        <v>0</v>
      </c>
      <c r="P346" s="4">
        <f>INDEX('Vessel Valuations'!F$34:F$50,MATCH($E346,'Vessel Valuations'!$C$34:$C$50,0))</f>
        <v>7.8477078477077959E-5</v>
      </c>
      <c r="Q346" s="4">
        <f>INDEX('Vessel Valuations'!G$34:G$50,MATCH($E346,'Vessel Valuations'!$C$34:$C$50,0))</f>
        <v>2.6864801864801918E-2</v>
      </c>
      <c r="R346" s="4">
        <f>INDEX('Vessel Valuations'!H$34:H$50,MATCH($E346,'Vessel Valuations'!$C$34:$C$50,0))</f>
        <v>-2.5062160062160075</v>
      </c>
      <c r="S346" s="4">
        <f>INDEX('Vessel Valuations'!I$34:I$50,MATCH($E346,'Vessel Valuations'!$C$34:$C$50,0))</f>
        <v>55.67832167832168</v>
      </c>
      <c r="U346" s="202"/>
      <c r="V346" s="185"/>
      <c r="Z346" s="185"/>
      <c r="AA346" s="185"/>
      <c r="AB346" s="185"/>
      <c r="AC346" s="185"/>
      <c r="AD346" s="185"/>
      <c r="AI346" s="21"/>
      <c r="AJ346" s="21"/>
    </row>
    <row r="347" spans="3:36" s="20" customFormat="1" outlineLevel="1" x14ac:dyDescent="0.2">
      <c r="C347" s="157" t="s">
        <v>1062</v>
      </c>
      <c r="D347" s="157" t="s">
        <v>1050</v>
      </c>
      <c r="E347" s="157" t="s">
        <v>15</v>
      </c>
      <c r="F347" s="161" t="s">
        <v>992</v>
      </c>
      <c r="G347" s="118">
        <v>0</v>
      </c>
      <c r="H347" s="152">
        <f>INDEX(Premiums!$G$27:$G$30,MATCH(Hafnia!E347,Premiums!$E$27:$E$30,0))*G347</f>
        <v>0</v>
      </c>
      <c r="I347" s="186">
        <v>8011</v>
      </c>
      <c r="J347" s="157">
        <v>2008</v>
      </c>
      <c r="K347" s="63">
        <v>2024</v>
      </c>
      <c r="L347" s="56">
        <f t="shared" si="49"/>
        <v>16</v>
      </c>
      <c r="M347" s="1">
        <f t="shared" si="48"/>
        <v>0</v>
      </c>
      <c r="N347" s="184">
        <v>0</v>
      </c>
      <c r="P347" s="4">
        <f>INDEX('Vessel Valuations'!F$34:F$50,MATCH($E347,'Vessel Valuations'!$C$34:$C$50,0))</f>
        <v>7.8477078477077959E-5</v>
      </c>
      <c r="Q347" s="4">
        <f>INDEX('Vessel Valuations'!G$34:G$50,MATCH($E347,'Vessel Valuations'!$C$34:$C$50,0))</f>
        <v>2.6864801864801918E-2</v>
      </c>
      <c r="R347" s="4">
        <f>INDEX('Vessel Valuations'!H$34:H$50,MATCH($E347,'Vessel Valuations'!$C$34:$C$50,0))</f>
        <v>-2.5062160062160075</v>
      </c>
      <c r="S347" s="4">
        <f>INDEX('Vessel Valuations'!I$34:I$50,MATCH($E347,'Vessel Valuations'!$C$34:$C$50,0))</f>
        <v>55.67832167832168</v>
      </c>
      <c r="U347" s="202"/>
      <c r="V347" s="185"/>
      <c r="Z347" s="185"/>
      <c r="AA347" s="185"/>
      <c r="AB347" s="185"/>
      <c r="AC347" s="185"/>
      <c r="AD347" s="185"/>
      <c r="AI347" s="21"/>
      <c r="AJ347" s="21"/>
    </row>
    <row r="348" spans="3:36" s="20" customFormat="1" outlineLevel="1" x14ac:dyDescent="0.2">
      <c r="C348" s="157" t="s">
        <v>1063</v>
      </c>
      <c r="D348" s="157" t="s">
        <v>14</v>
      </c>
      <c r="E348" s="157" t="s">
        <v>14</v>
      </c>
      <c r="F348" s="158" t="s">
        <v>1064</v>
      </c>
      <c r="G348" s="118">
        <v>1</v>
      </c>
      <c r="H348" s="152">
        <f>INDEX(Premiums!$G$27:$G$30,MATCH(Hafnia!E348,Premiums!$E$27:$E$30,0))*G348</f>
        <v>2276.6383561643834</v>
      </c>
      <c r="I348" s="186">
        <v>79902</v>
      </c>
      <c r="J348" s="157">
        <v>2019</v>
      </c>
      <c r="K348" s="63">
        <v>2024</v>
      </c>
      <c r="L348" s="56">
        <f t="shared" si="49"/>
        <v>5</v>
      </c>
      <c r="M348" s="1">
        <f t="shared" si="48"/>
        <v>0</v>
      </c>
      <c r="N348" s="184">
        <v>0</v>
      </c>
      <c r="P348" s="4">
        <f>INDEX('Vessel Valuations'!F$34:F$50,MATCH($E348,'Vessel Valuations'!$C$34:$C$50,0))</f>
        <v>1.2463092463092584E-4</v>
      </c>
      <c r="Q348" s="4">
        <f>INDEX('Vessel Valuations'!G$34:G$50,MATCH($E348,'Vessel Valuations'!$C$34:$C$50,0))</f>
        <v>2.8032634032633983E-2</v>
      </c>
      <c r="R348" s="4">
        <f>INDEX('Vessel Valuations'!H$34:H$50,MATCH($E348,'Vessel Valuations'!$C$34:$C$50,0))</f>
        <v>-2.83950271950272</v>
      </c>
      <c r="S348" s="4">
        <f>INDEX('Vessel Valuations'!I$34:I$50,MATCH($E348,'Vessel Valuations'!$C$34:$C$50,0))</f>
        <v>64.156643356643372</v>
      </c>
      <c r="U348" s="218">
        <v>46749</v>
      </c>
      <c r="V348" s="185">
        <f>((INDEX('FFA &amp; Spot Rates'!F$23:F$43,MATCH(Hafnia!$E348,'FFA &amp; Spot Rates'!$C$23:$C$43,0))++$H348)*(1-INDEX(V$149:V$152,MATCH(Hafnia!$E348,$D$149:$D$152,0)))+INDEX(V$149:V$152,MATCH(Hafnia!$E348,$D$149:$D$152,0))*INDEX(V$154:V$157,MATCH(Hafnia!$E348,$D$154:$D$157,0)))</f>
        <v>44105.213643835617</v>
      </c>
      <c r="W348" s="185">
        <f>((INDEX('FFA &amp; Spot Rates'!G$23:G$43,MATCH(Hafnia!$E348,'FFA &amp; Spot Rates'!$C$23:$C$43,0))++$H348)*(1-INDEX(W$149:W$152,MATCH(Hafnia!$E348,$D$149:$D$152,0)))+INDEX(W$149:W$152,MATCH(Hafnia!$E348,$D$149:$D$152,0))*INDEX(W$154:W$157,MATCH(Hafnia!$E348,$D$154:$D$157,0)))</f>
        <v>36160.638356164382</v>
      </c>
      <c r="X348" s="185">
        <f>((INDEX('FFA &amp; Spot Rates'!H$23:H$43,MATCH(Hafnia!$E348,'FFA &amp; Spot Rates'!$C$23:$C$43,0))++$H348)*(1-INDEX(X$149:X$152,MATCH(Hafnia!$E348,$D$149:$D$152,0)))+INDEX(X$149:X$152,MATCH(Hafnia!$E348,$D$149:$D$152,0))*INDEX(X$154:X$157,MATCH(Hafnia!$E348,$D$154:$D$157,0)))</f>
        <v>51854.638356164382</v>
      </c>
      <c r="Y348" s="185">
        <f>INDEX('FFA &amp; Spot Rates'!I$23:I$43,MATCH(Hafnia!$E348,'FFA &amp; Spot Rates'!$C$23:$C$43,0))</f>
        <v>34529</v>
      </c>
      <c r="Z348" s="185"/>
      <c r="AA348" s="185"/>
      <c r="AB348" s="185"/>
      <c r="AC348" s="185"/>
      <c r="AD348" s="185"/>
      <c r="AI348" s="21"/>
      <c r="AJ348" s="21"/>
    </row>
    <row r="349" spans="3:36" s="20" customFormat="1" outlineLevel="1" x14ac:dyDescent="0.2">
      <c r="C349" s="157" t="s">
        <v>1065</v>
      </c>
      <c r="D349" s="157" t="s">
        <v>14</v>
      </c>
      <c r="E349" s="157" t="s">
        <v>14</v>
      </c>
      <c r="F349" s="158" t="s">
        <v>1064</v>
      </c>
      <c r="G349" s="118">
        <v>1</v>
      </c>
      <c r="H349" s="152">
        <f>INDEX(Premiums!$G$27:$G$30,MATCH(Hafnia!E349,Premiums!$E$27:$E$30,0))*G349</f>
        <v>2276.6383561643834</v>
      </c>
      <c r="I349" s="186">
        <v>79885</v>
      </c>
      <c r="J349" s="157">
        <v>2019</v>
      </c>
      <c r="K349" s="63">
        <v>2024</v>
      </c>
      <c r="L349" s="56">
        <f t="shared" si="49"/>
        <v>5</v>
      </c>
      <c r="M349" s="1">
        <f t="shared" si="48"/>
        <v>0</v>
      </c>
      <c r="N349" s="184">
        <v>0</v>
      </c>
      <c r="P349" s="4">
        <f>INDEX('Vessel Valuations'!F$34:F$50,MATCH($E349,'Vessel Valuations'!$C$34:$C$50,0))</f>
        <v>1.2463092463092584E-4</v>
      </c>
      <c r="Q349" s="4">
        <f>INDEX('Vessel Valuations'!G$34:G$50,MATCH($E349,'Vessel Valuations'!$C$34:$C$50,0))</f>
        <v>2.8032634032633983E-2</v>
      </c>
      <c r="R349" s="4">
        <f>INDEX('Vessel Valuations'!H$34:H$50,MATCH($E349,'Vessel Valuations'!$C$34:$C$50,0))</f>
        <v>-2.83950271950272</v>
      </c>
      <c r="S349" s="4">
        <f>INDEX('Vessel Valuations'!I$34:I$50,MATCH($E349,'Vessel Valuations'!$C$34:$C$50,0))</f>
        <v>64.156643356643372</v>
      </c>
      <c r="U349" s="218">
        <v>46749</v>
      </c>
      <c r="V349" s="185">
        <f>((INDEX('FFA &amp; Spot Rates'!F$23:F$43,MATCH(Hafnia!$E349,'FFA &amp; Spot Rates'!$C$23:$C$43,0))++$H349)*(1-INDEX(V$149:V$152,MATCH(Hafnia!$E349,$D$149:$D$152,0)))+INDEX(V$149:V$152,MATCH(Hafnia!$E349,$D$149:$D$152,0))*INDEX(V$154:V$157,MATCH(Hafnia!$E349,$D$154:$D$157,0)))</f>
        <v>44105.213643835617</v>
      </c>
      <c r="W349" s="185">
        <f>((INDEX('FFA &amp; Spot Rates'!G$23:G$43,MATCH(Hafnia!$E349,'FFA &amp; Spot Rates'!$C$23:$C$43,0))++$H349)*(1-INDEX(W$149:W$152,MATCH(Hafnia!$E349,$D$149:$D$152,0)))+INDEX(W$149:W$152,MATCH(Hafnia!$E349,$D$149:$D$152,0))*INDEX(W$154:W$157,MATCH(Hafnia!$E349,$D$154:$D$157,0)))</f>
        <v>36160.638356164382</v>
      </c>
      <c r="X349" s="185">
        <f>((INDEX('FFA &amp; Spot Rates'!H$23:H$43,MATCH(Hafnia!$E349,'FFA &amp; Spot Rates'!$C$23:$C$43,0))++$H349)*(1-INDEX(X$149:X$152,MATCH(Hafnia!$E349,$D$149:$D$152,0)))+INDEX(X$149:X$152,MATCH(Hafnia!$E349,$D$149:$D$152,0))*INDEX(X$154:X$157,MATCH(Hafnia!$E349,$D$154:$D$157,0)))</f>
        <v>51854.638356164382</v>
      </c>
      <c r="Y349" s="185">
        <f>INDEX('FFA &amp; Spot Rates'!I$23:I$43,MATCH(Hafnia!$E349,'FFA &amp; Spot Rates'!$C$23:$C$43,0))</f>
        <v>34529</v>
      </c>
      <c r="Z349" s="185"/>
      <c r="AA349" s="185"/>
      <c r="AB349" s="185"/>
      <c r="AC349" s="185"/>
      <c r="AD349" s="185"/>
      <c r="AI349" s="21"/>
      <c r="AJ349" s="21"/>
    </row>
    <row r="350" spans="3:36" s="20" customFormat="1" outlineLevel="1" x14ac:dyDescent="0.2">
      <c r="C350" s="157" t="s">
        <v>1066</v>
      </c>
      <c r="D350" s="157" t="s">
        <v>14</v>
      </c>
      <c r="E350" s="157" t="s">
        <v>14</v>
      </c>
      <c r="F350" s="158" t="s">
        <v>1064</v>
      </c>
      <c r="G350" s="118">
        <v>1</v>
      </c>
      <c r="H350" s="152">
        <f>INDEX(Premiums!$G$27:$G$30,MATCH(Hafnia!E350,Premiums!$E$27:$E$30,0))*G350</f>
        <v>2276.6383561643834</v>
      </c>
      <c r="I350" s="186">
        <v>77378</v>
      </c>
      <c r="J350" s="157">
        <v>2019</v>
      </c>
      <c r="K350" s="63">
        <v>2024</v>
      </c>
      <c r="L350" s="56">
        <f t="shared" si="49"/>
        <v>5</v>
      </c>
      <c r="M350" s="1">
        <f t="shared" si="48"/>
        <v>0</v>
      </c>
      <c r="N350" s="184">
        <v>0</v>
      </c>
      <c r="P350" s="4">
        <f>INDEX('Vessel Valuations'!F$34:F$50,MATCH($E350,'Vessel Valuations'!$C$34:$C$50,0))</f>
        <v>1.2463092463092584E-4</v>
      </c>
      <c r="Q350" s="4">
        <f>INDEX('Vessel Valuations'!G$34:G$50,MATCH($E350,'Vessel Valuations'!$C$34:$C$50,0))</f>
        <v>2.8032634032633983E-2</v>
      </c>
      <c r="R350" s="4">
        <f>INDEX('Vessel Valuations'!H$34:H$50,MATCH($E350,'Vessel Valuations'!$C$34:$C$50,0))</f>
        <v>-2.83950271950272</v>
      </c>
      <c r="S350" s="4">
        <f>INDEX('Vessel Valuations'!I$34:I$50,MATCH($E350,'Vessel Valuations'!$C$34:$C$50,0))</f>
        <v>64.156643356643372</v>
      </c>
      <c r="U350" s="218">
        <v>46749</v>
      </c>
      <c r="V350" s="185">
        <f>((INDEX('FFA &amp; Spot Rates'!F$23:F$43,MATCH(Hafnia!$E350,'FFA &amp; Spot Rates'!$C$23:$C$43,0))++$H350)*(1-INDEX(V$149:V$152,MATCH(Hafnia!$E350,$D$149:$D$152,0)))+INDEX(V$149:V$152,MATCH(Hafnia!$E350,$D$149:$D$152,0))*INDEX(V$154:V$157,MATCH(Hafnia!$E350,$D$154:$D$157,0)))</f>
        <v>44105.213643835617</v>
      </c>
      <c r="W350" s="185">
        <f>((INDEX('FFA &amp; Spot Rates'!G$23:G$43,MATCH(Hafnia!$E350,'FFA &amp; Spot Rates'!$C$23:$C$43,0))++$H350)*(1-INDEX(W$149:W$152,MATCH(Hafnia!$E350,$D$149:$D$152,0)))+INDEX(W$149:W$152,MATCH(Hafnia!$E350,$D$149:$D$152,0))*INDEX(W$154:W$157,MATCH(Hafnia!$E350,$D$154:$D$157,0)))</f>
        <v>36160.638356164382</v>
      </c>
      <c r="X350" s="185">
        <f>((INDEX('FFA &amp; Spot Rates'!H$23:H$43,MATCH(Hafnia!$E350,'FFA &amp; Spot Rates'!$C$23:$C$43,0))++$H350)*(1-INDEX(X$149:X$152,MATCH(Hafnia!$E350,$D$149:$D$152,0)))+INDEX(X$149:X$152,MATCH(Hafnia!$E350,$D$149:$D$152,0))*INDEX(X$154:X$157,MATCH(Hafnia!$E350,$D$154:$D$157,0)))</f>
        <v>51854.638356164382</v>
      </c>
      <c r="Y350" s="185">
        <f>INDEX('FFA &amp; Spot Rates'!I$23:I$43,MATCH(Hafnia!$E350,'FFA &amp; Spot Rates'!$C$23:$C$43,0))</f>
        <v>34529</v>
      </c>
      <c r="Z350" s="185"/>
      <c r="AA350" s="185"/>
      <c r="AB350" s="185"/>
      <c r="AC350" s="185"/>
      <c r="AD350" s="185"/>
      <c r="AI350" s="21"/>
      <c r="AJ350" s="21"/>
    </row>
    <row r="351" spans="3:36" s="20" customFormat="1" outlineLevel="1" x14ac:dyDescent="0.2">
      <c r="C351" s="157" t="s">
        <v>1067</v>
      </c>
      <c r="D351" s="157" t="s">
        <v>14</v>
      </c>
      <c r="E351" s="157" t="s">
        <v>14</v>
      </c>
      <c r="F351" s="158" t="s">
        <v>1064</v>
      </c>
      <c r="G351" s="118">
        <v>0</v>
      </c>
      <c r="H351" s="152">
        <f>INDEX(Premiums!$G$27:$G$30,MATCH(Hafnia!E351,Premiums!$E$27:$E$30,0))*G351</f>
        <v>0</v>
      </c>
      <c r="I351" s="186">
        <v>74908</v>
      </c>
      <c r="J351" s="157">
        <v>2011</v>
      </c>
      <c r="K351" s="63">
        <v>2024</v>
      </c>
      <c r="L351" s="56">
        <f t="shared" si="49"/>
        <v>13</v>
      </c>
      <c r="M351" s="1">
        <f t="shared" si="48"/>
        <v>0</v>
      </c>
      <c r="N351" s="184">
        <v>0</v>
      </c>
      <c r="P351" s="4">
        <f>INDEX('Vessel Valuations'!F$34:F$50,MATCH($E351,'Vessel Valuations'!$C$34:$C$50,0))</f>
        <v>1.2463092463092584E-4</v>
      </c>
      <c r="Q351" s="4">
        <f>INDEX('Vessel Valuations'!G$34:G$50,MATCH($E351,'Vessel Valuations'!$C$34:$C$50,0))</f>
        <v>2.8032634032633983E-2</v>
      </c>
      <c r="R351" s="4">
        <f>INDEX('Vessel Valuations'!H$34:H$50,MATCH($E351,'Vessel Valuations'!$C$34:$C$50,0))</f>
        <v>-2.83950271950272</v>
      </c>
      <c r="S351" s="4">
        <f>INDEX('Vessel Valuations'!I$34:I$50,MATCH($E351,'Vessel Valuations'!$C$34:$C$50,0))</f>
        <v>64.156643356643372</v>
      </c>
      <c r="U351" s="218">
        <v>46749</v>
      </c>
      <c r="V351" s="185">
        <f>((INDEX('FFA &amp; Spot Rates'!F$23:F$43,MATCH(Hafnia!$E351,'FFA &amp; Spot Rates'!$C$23:$C$43,0))++$H351)*(1-INDEX(V$149:V$152,MATCH(Hafnia!$E351,$D$149:$D$152,0)))+INDEX(V$149:V$152,MATCH(Hafnia!$E351,$D$149:$D$152,0))*INDEX(V$154:V$157,MATCH(Hafnia!$E351,$D$154:$D$157,0)))</f>
        <v>43057.96</v>
      </c>
      <c r="W351" s="185">
        <f>((INDEX('FFA &amp; Spot Rates'!G$23:G$43,MATCH(Hafnia!$E351,'FFA &amp; Spot Rates'!$C$23:$C$43,0))++$H351)*(1-INDEX(W$149:W$152,MATCH(Hafnia!$E351,$D$149:$D$152,0)))+INDEX(W$149:W$152,MATCH(Hafnia!$E351,$D$149:$D$152,0))*INDEX(W$154:W$157,MATCH(Hafnia!$E351,$D$154:$D$157,0)))</f>
        <v>33884</v>
      </c>
      <c r="X351" s="185">
        <f>((INDEX('FFA &amp; Spot Rates'!H$23:H$43,MATCH(Hafnia!$E351,'FFA &amp; Spot Rates'!$C$23:$C$43,0))++$H351)*(1-INDEX(X$149:X$152,MATCH(Hafnia!$E351,$D$149:$D$152,0)))+INDEX(X$149:X$152,MATCH(Hafnia!$E351,$D$149:$D$152,0))*INDEX(X$154:X$157,MATCH(Hafnia!$E351,$D$154:$D$157,0)))</f>
        <v>49578</v>
      </c>
      <c r="Y351" s="185">
        <f>INDEX('FFA &amp; Spot Rates'!I$23:I$43,MATCH(Hafnia!$E351,'FFA &amp; Spot Rates'!$C$23:$C$43,0))</f>
        <v>34529</v>
      </c>
      <c r="Z351" s="185"/>
      <c r="AA351" s="185"/>
      <c r="AB351" s="185"/>
      <c r="AC351" s="185"/>
      <c r="AD351" s="185"/>
      <c r="AI351" s="21"/>
      <c r="AJ351" s="21"/>
    </row>
    <row r="352" spans="3:36" s="20" customFormat="1" outlineLevel="1" x14ac:dyDescent="0.2">
      <c r="C352" s="157" t="s">
        <v>1068</v>
      </c>
      <c r="D352" s="157" t="s">
        <v>15</v>
      </c>
      <c r="E352" s="157" t="s">
        <v>15</v>
      </c>
      <c r="F352" s="158" t="s">
        <v>1064</v>
      </c>
      <c r="G352" s="118">
        <v>1</v>
      </c>
      <c r="H352" s="152">
        <f>INDEX(Premiums!$G$27:$G$30,MATCH(Hafnia!E352,Premiums!$E$27:$E$30,0))*G352</f>
        <v>1313.4452054794519</v>
      </c>
      <c r="I352" s="186">
        <v>50485</v>
      </c>
      <c r="J352" s="157">
        <v>2021</v>
      </c>
      <c r="K352" s="63">
        <v>2024</v>
      </c>
      <c r="L352" s="56">
        <f t="shared" si="49"/>
        <v>3</v>
      </c>
      <c r="M352" s="1">
        <f t="shared" si="48"/>
        <v>0</v>
      </c>
      <c r="N352" s="184">
        <v>0</v>
      </c>
      <c r="P352" s="4">
        <f>INDEX('Vessel Valuations'!F$34:F$50,MATCH($E352,'Vessel Valuations'!$C$34:$C$50,0))</f>
        <v>7.8477078477077959E-5</v>
      </c>
      <c r="Q352" s="4">
        <f>INDEX('Vessel Valuations'!G$34:G$50,MATCH($E352,'Vessel Valuations'!$C$34:$C$50,0))</f>
        <v>2.6864801864801918E-2</v>
      </c>
      <c r="R352" s="4">
        <f>INDEX('Vessel Valuations'!H$34:H$50,MATCH($E352,'Vessel Valuations'!$C$34:$C$50,0))</f>
        <v>-2.5062160062160075</v>
      </c>
      <c r="S352" s="4">
        <f>INDEX('Vessel Valuations'!I$34:I$50,MATCH($E352,'Vessel Valuations'!$C$34:$C$50,0))</f>
        <v>55.67832167832168</v>
      </c>
      <c r="U352" s="218">
        <v>32888</v>
      </c>
      <c r="V352" s="185">
        <f>((INDEX('FFA &amp; Spot Rates'!F$23:F$43,MATCH(Hafnia!$E352,'FFA &amp; Spot Rates'!$C$23:$C$43,0))++$H352)*(1-INDEX(V$149:V$152,MATCH(Hafnia!$E352,$D$149:$D$152,0)))+INDEX(V$149:V$152,MATCH(Hafnia!$E352,$D$149:$D$152,0))*INDEX(V$154:V$157,MATCH(Hafnia!$E352,$D$154:$D$157,0)))</f>
        <v>33506.556917808222</v>
      </c>
      <c r="W352" s="185">
        <f>((INDEX('FFA &amp; Spot Rates'!G$23:G$43,MATCH(Hafnia!$E352,'FFA &amp; Spot Rates'!$C$23:$C$43,0))++$H352)*(1-INDEX(W$149:W$152,MATCH(Hafnia!$E352,$D$149:$D$152,0)))+INDEX(W$149:W$152,MATCH(Hafnia!$E352,$D$149:$D$152,0))*INDEX(W$154:W$157,MATCH(Hafnia!$E352,$D$154:$D$157,0)))</f>
        <v>27871.445205479453</v>
      </c>
      <c r="X352" s="185">
        <f>((INDEX('FFA &amp; Spot Rates'!H$23:H$43,MATCH(Hafnia!$E352,'FFA &amp; Spot Rates'!$C$23:$C$43,0))++$H352)*(1-INDEX(X$149:X$152,MATCH(Hafnia!$E352,$D$149:$D$152,0)))+INDEX(X$149:X$152,MATCH(Hafnia!$E352,$D$149:$D$152,0))*INDEX(X$154:X$157,MATCH(Hafnia!$E352,$D$154:$D$157,0)))</f>
        <v>39053.445205479453</v>
      </c>
      <c r="Y352" s="185">
        <f>INDEX('FFA &amp; Spot Rates'!I$23:I$43,MATCH(Hafnia!$E352,'FFA &amp; Spot Rates'!$C$23:$C$43,0))</f>
        <v>31390</v>
      </c>
      <c r="Z352" s="185"/>
      <c r="AA352" s="185"/>
      <c r="AB352" s="185"/>
      <c r="AC352" s="185"/>
      <c r="AD352" s="185"/>
      <c r="AI352" s="21"/>
      <c r="AJ352" s="21"/>
    </row>
    <row r="353" spans="3:36" s="20" customFormat="1" outlineLevel="1" x14ac:dyDescent="0.2">
      <c r="C353" s="157" t="s">
        <v>1069</v>
      </c>
      <c r="D353" s="157" t="s">
        <v>15</v>
      </c>
      <c r="E353" s="157" t="s">
        <v>15</v>
      </c>
      <c r="F353" s="158" t="s">
        <v>1064</v>
      </c>
      <c r="G353" s="118">
        <v>1</v>
      </c>
      <c r="H353" s="152">
        <f>INDEX(Premiums!$G$27:$G$30,MATCH(Hafnia!E353,Premiums!$E$27:$E$30,0))*G353</f>
        <v>1313.4452054794519</v>
      </c>
      <c r="I353" s="186">
        <v>49999</v>
      </c>
      <c r="J353" s="157">
        <v>2021</v>
      </c>
      <c r="K353" s="63">
        <v>2024</v>
      </c>
      <c r="L353" s="56">
        <f t="shared" si="49"/>
        <v>3</v>
      </c>
      <c r="M353" s="1">
        <f t="shared" ref="M353:M361" si="50">(P353*L353^3+Q353*L353^2+R353*L353+S353)*N353</f>
        <v>0</v>
      </c>
      <c r="N353" s="184">
        <v>0</v>
      </c>
      <c r="P353" s="4">
        <f>INDEX('Vessel Valuations'!F$34:F$50,MATCH($E353,'Vessel Valuations'!$C$34:$C$50,0))</f>
        <v>7.8477078477077959E-5</v>
      </c>
      <c r="Q353" s="4">
        <f>INDEX('Vessel Valuations'!G$34:G$50,MATCH($E353,'Vessel Valuations'!$C$34:$C$50,0))</f>
        <v>2.6864801864801918E-2</v>
      </c>
      <c r="R353" s="4">
        <f>INDEX('Vessel Valuations'!H$34:H$50,MATCH($E353,'Vessel Valuations'!$C$34:$C$50,0))</f>
        <v>-2.5062160062160075</v>
      </c>
      <c r="S353" s="4">
        <f>INDEX('Vessel Valuations'!I$34:I$50,MATCH($E353,'Vessel Valuations'!$C$34:$C$50,0))</f>
        <v>55.67832167832168</v>
      </c>
      <c r="U353" s="218">
        <v>32888</v>
      </c>
      <c r="V353" s="185">
        <f>((INDEX('FFA &amp; Spot Rates'!F$23:F$43,MATCH(Hafnia!$E353,'FFA &amp; Spot Rates'!$C$23:$C$43,0))++$H353)*(1-INDEX(V$149:V$152,MATCH(Hafnia!$E353,$D$149:$D$152,0)))+INDEX(V$149:V$152,MATCH(Hafnia!$E353,$D$149:$D$152,0))*INDEX(V$154:V$157,MATCH(Hafnia!$E353,$D$154:$D$157,0)))</f>
        <v>33506.556917808222</v>
      </c>
      <c r="W353" s="185">
        <f>((INDEX('FFA &amp; Spot Rates'!G$23:G$43,MATCH(Hafnia!$E353,'FFA &amp; Spot Rates'!$C$23:$C$43,0))++$H353)*(1-INDEX(W$149:W$152,MATCH(Hafnia!$E353,$D$149:$D$152,0)))+INDEX(W$149:W$152,MATCH(Hafnia!$E353,$D$149:$D$152,0))*INDEX(W$154:W$157,MATCH(Hafnia!$E353,$D$154:$D$157,0)))</f>
        <v>27871.445205479453</v>
      </c>
      <c r="X353" s="185">
        <f>((INDEX('FFA &amp; Spot Rates'!H$23:H$43,MATCH(Hafnia!$E353,'FFA &amp; Spot Rates'!$C$23:$C$43,0))++$H353)*(1-INDEX(X$149:X$152,MATCH(Hafnia!$E353,$D$149:$D$152,0)))+INDEX(X$149:X$152,MATCH(Hafnia!$E353,$D$149:$D$152,0))*INDEX(X$154:X$157,MATCH(Hafnia!$E353,$D$154:$D$157,0)))</f>
        <v>39053.445205479453</v>
      </c>
      <c r="Y353" s="185">
        <f>INDEX('FFA &amp; Spot Rates'!I$23:I$43,MATCH(Hafnia!$E353,'FFA &amp; Spot Rates'!$C$23:$C$43,0))</f>
        <v>31390</v>
      </c>
      <c r="Z353" s="185"/>
      <c r="AA353" s="185"/>
      <c r="AB353" s="185"/>
      <c r="AC353" s="185"/>
      <c r="AD353" s="185"/>
      <c r="AI353" s="21"/>
      <c r="AJ353" s="21"/>
    </row>
    <row r="354" spans="3:36" s="20" customFormat="1" outlineLevel="1" x14ac:dyDescent="0.2">
      <c r="C354" s="157" t="s">
        <v>1070</v>
      </c>
      <c r="D354" s="157" t="s">
        <v>15</v>
      </c>
      <c r="E354" s="157" t="s">
        <v>15</v>
      </c>
      <c r="F354" s="158" t="s">
        <v>1064</v>
      </c>
      <c r="G354" s="118">
        <v>1</v>
      </c>
      <c r="H354" s="152">
        <f>INDEX(Premiums!$G$27:$G$30,MATCH(Hafnia!E354,Premiums!$E$27:$E$30,0))*G354</f>
        <v>1313.4452054794519</v>
      </c>
      <c r="I354" s="186">
        <v>49997</v>
      </c>
      <c r="J354" s="157">
        <v>2017</v>
      </c>
      <c r="K354" s="63">
        <v>2024</v>
      </c>
      <c r="L354" s="56">
        <f t="shared" si="49"/>
        <v>7</v>
      </c>
      <c r="M354" s="1">
        <f t="shared" si="50"/>
        <v>0</v>
      </c>
      <c r="N354" s="184">
        <v>0</v>
      </c>
      <c r="P354" s="4">
        <f>INDEX('Vessel Valuations'!F$34:F$50,MATCH($E354,'Vessel Valuations'!$C$34:$C$50,0))</f>
        <v>7.8477078477077959E-5</v>
      </c>
      <c r="Q354" s="4">
        <f>INDEX('Vessel Valuations'!G$34:G$50,MATCH($E354,'Vessel Valuations'!$C$34:$C$50,0))</f>
        <v>2.6864801864801918E-2</v>
      </c>
      <c r="R354" s="4">
        <f>INDEX('Vessel Valuations'!H$34:H$50,MATCH($E354,'Vessel Valuations'!$C$34:$C$50,0))</f>
        <v>-2.5062160062160075</v>
      </c>
      <c r="S354" s="4">
        <f>INDEX('Vessel Valuations'!I$34:I$50,MATCH($E354,'Vessel Valuations'!$C$34:$C$50,0))</f>
        <v>55.67832167832168</v>
      </c>
      <c r="U354" s="218">
        <v>32888</v>
      </c>
      <c r="V354" s="185">
        <f>((INDEX('FFA &amp; Spot Rates'!F$23:F$43,MATCH(Hafnia!$E354,'FFA &amp; Spot Rates'!$C$23:$C$43,0))++$H354)*(1-INDEX(V$149:V$152,MATCH(Hafnia!$E354,$D$149:$D$152,0)))+INDEX(V$149:V$152,MATCH(Hafnia!$E354,$D$149:$D$152,0))*INDEX(V$154:V$157,MATCH(Hafnia!$E354,$D$154:$D$157,0)))</f>
        <v>33506.556917808222</v>
      </c>
      <c r="W354" s="185">
        <f>((INDEX('FFA &amp; Spot Rates'!G$23:G$43,MATCH(Hafnia!$E354,'FFA &amp; Spot Rates'!$C$23:$C$43,0))++$H354)*(1-INDEX(W$149:W$152,MATCH(Hafnia!$E354,$D$149:$D$152,0)))+INDEX(W$149:W$152,MATCH(Hafnia!$E354,$D$149:$D$152,0))*INDEX(W$154:W$157,MATCH(Hafnia!$E354,$D$154:$D$157,0)))</f>
        <v>27871.445205479453</v>
      </c>
      <c r="X354" s="185">
        <f>((INDEX('FFA &amp; Spot Rates'!H$23:H$43,MATCH(Hafnia!$E354,'FFA &amp; Spot Rates'!$C$23:$C$43,0))++$H354)*(1-INDEX(X$149:X$152,MATCH(Hafnia!$E354,$D$149:$D$152,0)))+INDEX(X$149:X$152,MATCH(Hafnia!$E354,$D$149:$D$152,0))*INDEX(X$154:X$157,MATCH(Hafnia!$E354,$D$154:$D$157,0)))</f>
        <v>39053.445205479453</v>
      </c>
      <c r="Y354" s="185">
        <f>INDEX('FFA &amp; Spot Rates'!I$23:I$43,MATCH(Hafnia!$E354,'FFA &amp; Spot Rates'!$C$23:$C$43,0))</f>
        <v>31390</v>
      </c>
      <c r="Z354" s="185"/>
      <c r="AA354" s="185"/>
      <c r="AB354" s="185"/>
      <c r="AC354" s="185"/>
      <c r="AD354" s="185"/>
      <c r="AI354" s="21"/>
      <c r="AJ354" s="21"/>
    </row>
    <row r="355" spans="3:36" s="20" customFormat="1" outlineLevel="1" x14ac:dyDescent="0.2">
      <c r="C355" s="157" t="s">
        <v>1071</v>
      </c>
      <c r="D355" s="157" t="s">
        <v>15</v>
      </c>
      <c r="E355" s="157" t="s">
        <v>15</v>
      </c>
      <c r="F355" s="158" t="s">
        <v>1064</v>
      </c>
      <c r="G355" s="118">
        <v>1</v>
      </c>
      <c r="H355" s="152">
        <f>INDEX(Premiums!$G$27:$G$30,MATCH(Hafnia!E355,Premiums!$E$27:$E$30,0))*G355</f>
        <v>1313.4452054794519</v>
      </c>
      <c r="I355" s="186">
        <v>49972</v>
      </c>
      <c r="J355" s="157">
        <v>2017</v>
      </c>
      <c r="K355" s="63">
        <v>2024</v>
      </c>
      <c r="L355" s="56">
        <f t="shared" si="49"/>
        <v>7</v>
      </c>
      <c r="M355" s="1">
        <f t="shared" si="50"/>
        <v>0</v>
      </c>
      <c r="N355" s="184">
        <v>0</v>
      </c>
      <c r="P355" s="4">
        <f>INDEX('Vessel Valuations'!F$34:F$50,MATCH($E355,'Vessel Valuations'!$C$34:$C$50,0))</f>
        <v>7.8477078477077959E-5</v>
      </c>
      <c r="Q355" s="4">
        <f>INDEX('Vessel Valuations'!G$34:G$50,MATCH($E355,'Vessel Valuations'!$C$34:$C$50,0))</f>
        <v>2.6864801864801918E-2</v>
      </c>
      <c r="R355" s="4">
        <f>INDEX('Vessel Valuations'!H$34:H$50,MATCH($E355,'Vessel Valuations'!$C$34:$C$50,0))</f>
        <v>-2.5062160062160075</v>
      </c>
      <c r="S355" s="4">
        <f>INDEX('Vessel Valuations'!I$34:I$50,MATCH($E355,'Vessel Valuations'!$C$34:$C$50,0))</f>
        <v>55.67832167832168</v>
      </c>
      <c r="U355" s="218">
        <v>32888</v>
      </c>
      <c r="V355" s="185">
        <f>((INDEX('FFA &amp; Spot Rates'!F$23:F$43,MATCH(Hafnia!$E355,'FFA &amp; Spot Rates'!$C$23:$C$43,0))++$H355)*(1-INDEX(V$149:V$152,MATCH(Hafnia!$E355,$D$149:$D$152,0)))+INDEX(V$149:V$152,MATCH(Hafnia!$E355,$D$149:$D$152,0))*INDEX(V$154:V$157,MATCH(Hafnia!$E355,$D$154:$D$157,0)))</f>
        <v>33506.556917808222</v>
      </c>
      <c r="W355" s="185">
        <f>((INDEX('FFA &amp; Spot Rates'!G$23:G$43,MATCH(Hafnia!$E355,'FFA &amp; Spot Rates'!$C$23:$C$43,0))++$H355)*(1-INDEX(W$149:W$152,MATCH(Hafnia!$E355,$D$149:$D$152,0)))+INDEX(W$149:W$152,MATCH(Hafnia!$E355,$D$149:$D$152,0))*INDEX(W$154:W$157,MATCH(Hafnia!$E355,$D$154:$D$157,0)))</f>
        <v>27871.445205479453</v>
      </c>
      <c r="X355" s="185">
        <f>((INDEX('FFA &amp; Spot Rates'!H$23:H$43,MATCH(Hafnia!$E355,'FFA &amp; Spot Rates'!$C$23:$C$43,0))++$H355)*(1-INDEX(X$149:X$152,MATCH(Hafnia!$E355,$D$149:$D$152,0)))+INDEX(X$149:X$152,MATCH(Hafnia!$E355,$D$149:$D$152,0))*INDEX(X$154:X$157,MATCH(Hafnia!$E355,$D$154:$D$157,0)))</f>
        <v>39053.445205479453</v>
      </c>
      <c r="Y355" s="185">
        <f>INDEX('FFA &amp; Spot Rates'!I$23:I$43,MATCH(Hafnia!$E355,'FFA &amp; Spot Rates'!$C$23:$C$43,0))</f>
        <v>31390</v>
      </c>
      <c r="Z355" s="185"/>
      <c r="AA355" s="185"/>
      <c r="AB355" s="185"/>
      <c r="AC355" s="185"/>
      <c r="AD355" s="185"/>
      <c r="AI355" s="21"/>
      <c r="AJ355" s="21"/>
    </row>
    <row r="356" spans="3:36" s="20" customFormat="1" outlineLevel="1" x14ac:dyDescent="0.2">
      <c r="C356" s="157" t="s">
        <v>1072</v>
      </c>
      <c r="D356" s="157" t="s">
        <v>15</v>
      </c>
      <c r="E356" s="157" t="s">
        <v>15</v>
      </c>
      <c r="F356" s="158" t="s">
        <v>1064</v>
      </c>
      <c r="G356" s="118">
        <v>1</v>
      </c>
      <c r="H356" s="152">
        <f>INDEX(Premiums!$G$27:$G$30,MATCH(Hafnia!E356,Premiums!$E$27:$E$30,0))*G356</f>
        <v>1313.4452054794519</v>
      </c>
      <c r="I356" s="186">
        <v>49875</v>
      </c>
      <c r="J356" s="157">
        <v>2019</v>
      </c>
      <c r="K356" s="63">
        <v>2024</v>
      </c>
      <c r="L356" s="56">
        <f t="shared" si="49"/>
        <v>5</v>
      </c>
      <c r="M356" s="1">
        <f t="shared" si="50"/>
        <v>0</v>
      </c>
      <c r="N356" s="184">
        <v>0</v>
      </c>
      <c r="P356" s="4">
        <f>INDEX('Vessel Valuations'!F$34:F$50,MATCH($E356,'Vessel Valuations'!$C$34:$C$50,0))</f>
        <v>7.8477078477077959E-5</v>
      </c>
      <c r="Q356" s="4">
        <f>INDEX('Vessel Valuations'!G$34:G$50,MATCH($E356,'Vessel Valuations'!$C$34:$C$50,0))</f>
        <v>2.6864801864801918E-2</v>
      </c>
      <c r="R356" s="4">
        <f>INDEX('Vessel Valuations'!H$34:H$50,MATCH($E356,'Vessel Valuations'!$C$34:$C$50,0))</f>
        <v>-2.5062160062160075</v>
      </c>
      <c r="S356" s="4">
        <f>INDEX('Vessel Valuations'!I$34:I$50,MATCH($E356,'Vessel Valuations'!$C$34:$C$50,0))</f>
        <v>55.67832167832168</v>
      </c>
      <c r="U356" s="218">
        <v>32888</v>
      </c>
      <c r="V356" s="185">
        <f>((INDEX('FFA &amp; Spot Rates'!F$23:F$43,MATCH(Hafnia!$E356,'FFA &amp; Spot Rates'!$C$23:$C$43,0))++$H356)*(1-INDEX(V$149:V$152,MATCH(Hafnia!$E356,$D$149:$D$152,0)))+INDEX(V$149:V$152,MATCH(Hafnia!$E356,$D$149:$D$152,0))*INDEX(V$154:V$157,MATCH(Hafnia!$E356,$D$154:$D$157,0)))</f>
        <v>33506.556917808222</v>
      </c>
      <c r="W356" s="185">
        <f>((INDEX('FFA &amp; Spot Rates'!G$23:G$43,MATCH(Hafnia!$E356,'FFA &amp; Spot Rates'!$C$23:$C$43,0))++$H356)*(1-INDEX(W$149:W$152,MATCH(Hafnia!$E356,$D$149:$D$152,0)))+INDEX(W$149:W$152,MATCH(Hafnia!$E356,$D$149:$D$152,0))*INDEX(W$154:W$157,MATCH(Hafnia!$E356,$D$154:$D$157,0)))</f>
        <v>27871.445205479453</v>
      </c>
      <c r="X356" s="185">
        <f>((INDEX('FFA &amp; Spot Rates'!H$23:H$43,MATCH(Hafnia!$E356,'FFA &amp; Spot Rates'!$C$23:$C$43,0))++$H356)*(1-INDEX(X$149:X$152,MATCH(Hafnia!$E356,$D$149:$D$152,0)))+INDEX(X$149:X$152,MATCH(Hafnia!$E356,$D$149:$D$152,0))*INDEX(X$154:X$157,MATCH(Hafnia!$E356,$D$154:$D$157,0)))</f>
        <v>39053.445205479453</v>
      </c>
      <c r="Y356" s="185">
        <f>INDEX('FFA &amp; Spot Rates'!I$23:I$43,MATCH(Hafnia!$E356,'FFA &amp; Spot Rates'!$C$23:$C$43,0))</f>
        <v>31390</v>
      </c>
      <c r="Z356" s="185"/>
      <c r="AA356" s="185"/>
      <c r="AB356" s="185"/>
      <c r="AC356" s="185"/>
      <c r="AD356" s="185"/>
      <c r="AI356" s="21"/>
      <c r="AJ356" s="21"/>
    </row>
    <row r="357" spans="3:36" s="20" customFormat="1" outlineLevel="1" x14ac:dyDescent="0.2">
      <c r="C357" s="157" t="s">
        <v>1073</v>
      </c>
      <c r="D357" s="157" t="s">
        <v>15</v>
      </c>
      <c r="E357" s="157" t="s">
        <v>15</v>
      </c>
      <c r="F357" s="158" t="s">
        <v>1064</v>
      </c>
      <c r="G357" s="118">
        <v>1</v>
      </c>
      <c r="H357" s="152">
        <f>INDEX(Premiums!$G$27:$G$30,MATCH(Hafnia!E357,Premiums!$E$27:$E$30,0))*G357</f>
        <v>1313.4452054794519</v>
      </c>
      <c r="I357" s="186">
        <v>49856</v>
      </c>
      <c r="J357" s="157">
        <v>2020</v>
      </c>
      <c r="K357" s="63">
        <v>2024</v>
      </c>
      <c r="L357" s="56">
        <f t="shared" si="49"/>
        <v>4</v>
      </c>
      <c r="M357" s="1">
        <f t="shared" si="50"/>
        <v>0</v>
      </c>
      <c r="N357" s="184">
        <v>0</v>
      </c>
      <c r="P357" s="4">
        <f>INDEX('Vessel Valuations'!F$34:F$50,MATCH($E357,'Vessel Valuations'!$C$34:$C$50,0))</f>
        <v>7.8477078477077959E-5</v>
      </c>
      <c r="Q357" s="4">
        <f>INDEX('Vessel Valuations'!G$34:G$50,MATCH($E357,'Vessel Valuations'!$C$34:$C$50,0))</f>
        <v>2.6864801864801918E-2</v>
      </c>
      <c r="R357" s="4">
        <f>INDEX('Vessel Valuations'!H$34:H$50,MATCH($E357,'Vessel Valuations'!$C$34:$C$50,0))</f>
        <v>-2.5062160062160075</v>
      </c>
      <c r="S357" s="4">
        <f>INDEX('Vessel Valuations'!I$34:I$50,MATCH($E357,'Vessel Valuations'!$C$34:$C$50,0))</f>
        <v>55.67832167832168</v>
      </c>
      <c r="U357" s="218">
        <v>32888</v>
      </c>
      <c r="V357" s="185">
        <f>((INDEX('FFA &amp; Spot Rates'!F$23:F$43,MATCH(Hafnia!$E357,'FFA &amp; Spot Rates'!$C$23:$C$43,0))++$H357)*(1-INDEX(V$149:V$152,MATCH(Hafnia!$E357,$D$149:$D$152,0)))+INDEX(V$149:V$152,MATCH(Hafnia!$E357,$D$149:$D$152,0))*INDEX(V$154:V$157,MATCH(Hafnia!$E357,$D$154:$D$157,0)))</f>
        <v>33506.556917808222</v>
      </c>
      <c r="W357" s="185">
        <f>((INDEX('FFA &amp; Spot Rates'!G$23:G$43,MATCH(Hafnia!$E357,'FFA &amp; Spot Rates'!$C$23:$C$43,0))++$H357)*(1-INDEX(W$149:W$152,MATCH(Hafnia!$E357,$D$149:$D$152,0)))+INDEX(W$149:W$152,MATCH(Hafnia!$E357,$D$149:$D$152,0))*INDEX(W$154:W$157,MATCH(Hafnia!$E357,$D$154:$D$157,0)))</f>
        <v>27871.445205479453</v>
      </c>
      <c r="X357" s="185">
        <f>((INDEX('FFA &amp; Spot Rates'!H$23:H$43,MATCH(Hafnia!$E357,'FFA &amp; Spot Rates'!$C$23:$C$43,0))++$H357)*(1-INDEX(X$149:X$152,MATCH(Hafnia!$E357,$D$149:$D$152,0)))+INDEX(X$149:X$152,MATCH(Hafnia!$E357,$D$149:$D$152,0))*INDEX(X$154:X$157,MATCH(Hafnia!$E357,$D$154:$D$157,0)))</f>
        <v>39053.445205479453</v>
      </c>
      <c r="Y357" s="185">
        <f>INDEX('FFA &amp; Spot Rates'!I$23:I$43,MATCH(Hafnia!$E357,'FFA &amp; Spot Rates'!$C$23:$C$43,0))</f>
        <v>31390</v>
      </c>
      <c r="Z357" s="185"/>
      <c r="AA357" s="185"/>
      <c r="AB357" s="185"/>
      <c r="AC357" s="185"/>
      <c r="AD357" s="185"/>
      <c r="AI357" s="21"/>
      <c r="AJ357" s="21"/>
    </row>
    <row r="358" spans="3:36" s="20" customFormat="1" outlineLevel="1" x14ac:dyDescent="0.2">
      <c r="C358" s="157" t="s">
        <v>1074</v>
      </c>
      <c r="D358" s="157" t="s">
        <v>15</v>
      </c>
      <c r="E358" s="157" t="s">
        <v>15</v>
      </c>
      <c r="F358" s="158" t="s">
        <v>1064</v>
      </c>
      <c r="G358" s="118">
        <v>1</v>
      </c>
      <c r="H358" s="152">
        <f>INDEX(Premiums!$G$27:$G$30,MATCH(Hafnia!E358,Premiums!$E$27:$E$30,0))*G358</f>
        <v>1313.4452054794519</v>
      </c>
      <c r="I358" s="186">
        <v>49852</v>
      </c>
      <c r="J358" s="157">
        <v>2019</v>
      </c>
      <c r="K358" s="63">
        <v>2024</v>
      </c>
      <c r="L358" s="56">
        <f t="shared" si="49"/>
        <v>5</v>
      </c>
      <c r="M358" s="1">
        <f t="shared" si="50"/>
        <v>0</v>
      </c>
      <c r="N358" s="184">
        <v>0</v>
      </c>
      <c r="P358" s="4">
        <f>INDEX('Vessel Valuations'!F$34:F$50,MATCH($E358,'Vessel Valuations'!$C$34:$C$50,0))</f>
        <v>7.8477078477077959E-5</v>
      </c>
      <c r="Q358" s="4">
        <f>INDEX('Vessel Valuations'!G$34:G$50,MATCH($E358,'Vessel Valuations'!$C$34:$C$50,0))</f>
        <v>2.6864801864801918E-2</v>
      </c>
      <c r="R358" s="4">
        <f>INDEX('Vessel Valuations'!H$34:H$50,MATCH($E358,'Vessel Valuations'!$C$34:$C$50,0))</f>
        <v>-2.5062160062160075</v>
      </c>
      <c r="S358" s="4">
        <f>INDEX('Vessel Valuations'!I$34:I$50,MATCH($E358,'Vessel Valuations'!$C$34:$C$50,0))</f>
        <v>55.67832167832168</v>
      </c>
      <c r="U358" s="218">
        <v>32888</v>
      </c>
      <c r="V358" s="185">
        <f>((INDEX('FFA &amp; Spot Rates'!F$23:F$43,MATCH(Hafnia!$E358,'FFA &amp; Spot Rates'!$C$23:$C$43,0))++$H358)*(1-INDEX(V$149:V$152,MATCH(Hafnia!$E358,$D$149:$D$152,0)))+INDEX(V$149:V$152,MATCH(Hafnia!$E358,$D$149:$D$152,0))*INDEX(V$154:V$157,MATCH(Hafnia!$E358,$D$154:$D$157,0)))</f>
        <v>33506.556917808222</v>
      </c>
      <c r="W358" s="185">
        <f>((INDEX('FFA &amp; Spot Rates'!G$23:G$43,MATCH(Hafnia!$E358,'FFA &amp; Spot Rates'!$C$23:$C$43,0))++$H358)*(1-INDEX(W$149:W$152,MATCH(Hafnia!$E358,$D$149:$D$152,0)))+INDEX(W$149:W$152,MATCH(Hafnia!$E358,$D$149:$D$152,0))*INDEX(W$154:W$157,MATCH(Hafnia!$E358,$D$154:$D$157,0)))</f>
        <v>27871.445205479453</v>
      </c>
      <c r="X358" s="185">
        <f>((INDEX('FFA &amp; Spot Rates'!H$23:H$43,MATCH(Hafnia!$E358,'FFA &amp; Spot Rates'!$C$23:$C$43,0))++$H358)*(1-INDEX(X$149:X$152,MATCH(Hafnia!$E358,$D$149:$D$152,0)))+INDEX(X$149:X$152,MATCH(Hafnia!$E358,$D$149:$D$152,0))*INDEX(X$154:X$157,MATCH(Hafnia!$E358,$D$154:$D$157,0)))</f>
        <v>39053.445205479453</v>
      </c>
      <c r="Y358" s="185">
        <f>INDEX('FFA &amp; Spot Rates'!I$23:I$43,MATCH(Hafnia!$E358,'FFA &amp; Spot Rates'!$C$23:$C$43,0))</f>
        <v>31390</v>
      </c>
      <c r="Z358" s="185"/>
      <c r="AA358" s="185"/>
      <c r="AB358" s="185"/>
      <c r="AC358" s="185"/>
      <c r="AD358" s="185"/>
      <c r="AI358" s="21"/>
      <c r="AJ358" s="21"/>
    </row>
    <row r="359" spans="3:36" s="20" customFormat="1" outlineLevel="1" x14ac:dyDescent="0.2">
      <c r="C359" s="157" t="s">
        <v>1075</v>
      </c>
      <c r="D359" s="157" t="s">
        <v>15</v>
      </c>
      <c r="E359" s="157" t="s">
        <v>15</v>
      </c>
      <c r="F359" s="158" t="s">
        <v>1064</v>
      </c>
      <c r="G359" s="118">
        <v>1</v>
      </c>
      <c r="H359" s="152">
        <f>INDEX(Premiums!$G$27:$G$30,MATCH(Hafnia!E359,Premiums!$E$27:$E$30,0))*G359</f>
        <v>1313.4452054794519</v>
      </c>
      <c r="I359" s="186">
        <v>49850</v>
      </c>
      <c r="J359" s="157">
        <v>2019</v>
      </c>
      <c r="K359" s="63">
        <v>2024</v>
      </c>
      <c r="L359" s="56">
        <f t="shared" si="49"/>
        <v>5</v>
      </c>
      <c r="M359" s="1">
        <f t="shared" si="50"/>
        <v>0</v>
      </c>
      <c r="N359" s="184">
        <v>0</v>
      </c>
      <c r="P359" s="4">
        <f>INDEX('Vessel Valuations'!F$34:F$50,MATCH($E359,'Vessel Valuations'!$C$34:$C$50,0))</f>
        <v>7.8477078477077959E-5</v>
      </c>
      <c r="Q359" s="4">
        <f>INDEX('Vessel Valuations'!G$34:G$50,MATCH($E359,'Vessel Valuations'!$C$34:$C$50,0))</f>
        <v>2.6864801864801918E-2</v>
      </c>
      <c r="R359" s="4">
        <f>INDEX('Vessel Valuations'!H$34:H$50,MATCH($E359,'Vessel Valuations'!$C$34:$C$50,0))</f>
        <v>-2.5062160062160075</v>
      </c>
      <c r="S359" s="4">
        <f>INDEX('Vessel Valuations'!I$34:I$50,MATCH($E359,'Vessel Valuations'!$C$34:$C$50,0))</f>
        <v>55.67832167832168</v>
      </c>
      <c r="U359" s="218">
        <v>32888</v>
      </c>
      <c r="V359" s="185">
        <f>((INDEX('FFA &amp; Spot Rates'!F$23:F$43,MATCH(Hafnia!$E359,'FFA &amp; Spot Rates'!$C$23:$C$43,0))++$H359)*(1-INDEX(V$149:V$152,MATCH(Hafnia!$E359,$D$149:$D$152,0)))+INDEX(V$149:V$152,MATCH(Hafnia!$E359,$D$149:$D$152,0))*INDEX(V$154:V$157,MATCH(Hafnia!$E359,$D$154:$D$157,0)))</f>
        <v>33506.556917808222</v>
      </c>
      <c r="W359" s="185">
        <f>((INDEX('FFA &amp; Spot Rates'!G$23:G$43,MATCH(Hafnia!$E359,'FFA &amp; Spot Rates'!$C$23:$C$43,0))++$H359)*(1-INDEX(W$149:W$152,MATCH(Hafnia!$E359,$D$149:$D$152,0)))+INDEX(W$149:W$152,MATCH(Hafnia!$E359,$D$149:$D$152,0))*INDEX(W$154:W$157,MATCH(Hafnia!$E359,$D$154:$D$157,0)))</f>
        <v>27871.445205479453</v>
      </c>
      <c r="X359" s="185">
        <f>((INDEX('FFA &amp; Spot Rates'!H$23:H$43,MATCH(Hafnia!$E359,'FFA &amp; Spot Rates'!$C$23:$C$43,0))++$H359)*(1-INDEX(X$149:X$152,MATCH(Hafnia!$E359,$D$149:$D$152,0)))+INDEX(X$149:X$152,MATCH(Hafnia!$E359,$D$149:$D$152,0))*INDEX(X$154:X$157,MATCH(Hafnia!$E359,$D$154:$D$157,0)))</f>
        <v>39053.445205479453</v>
      </c>
      <c r="Y359" s="185">
        <f>INDEX('FFA &amp; Spot Rates'!I$23:I$43,MATCH(Hafnia!$E359,'FFA &amp; Spot Rates'!$C$23:$C$43,0))</f>
        <v>31390</v>
      </c>
      <c r="Z359" s="185"/>
      <c r="AA359" s="185"/>
      <c r="AB359" s="185"/>
      <c r="AC359" s="185"/>
      <c r="AD359" s="185"/>
      <c r="AI359" s="21"/>
      <c r="AJ359" s="21"/>
    </row>
    <row r="360" spans="3:36" s="20" customFormat="1" outlineLevel="1" x14ac:dyDescent="0.2">
      <c r="C360" s="157" t="s">
        <v>1076</v>
      </c>
      <c r="D360" s="157" t="s">
        <v>15</v>
      </c>
      <c r="E360" s="157" t="s">
        <v>15</v>
      </c>
      <c r="F360" s="158" t="s">
        <v>1064</v>
      </c>
      <c r="G360" s="118">
        <v>1</v>
      </c>
      <c r="H360" s="152">
        <f>INDEX(Premiums!$G$27:$G$30,MATCH(Hafnia!E360,Premiums!$E$27:$E$30,0))*G360</f>
        <v>1313.4452054794519</v>
      </c>
      <c r="I360" s="186">
        <v>49737</v>
      </c>
      <c r="J360" s="157">
        <v>2016</v>
      </c>
      <c r="K360" s="63">
        <v>2024</v>
      </c>
      <c r="L360" s="56">
        <f t="shared" si="49"/>
        <v>8</v>
      </c>
      <c r="M360" s="1">
        <f t="shared" si="50"/>
        <v>0</v>
      </c>
      <c r="N360" s="184">
        <v>0</v>
      </c>
      <c r="P360" s="4">
        <f>INDEX('Vessel Valuations'!F$34:F$50,MATCH($E360,'Vessel Valuations'!$C$34:$C$50,0))</f>
        <v>7.8477078477077959E-5</v>
      </c>
      <c r="Q360" s="4">
        <f>INDEX('Vessel Valuations'!G$34:G$50,MATCH($E360,'Vessel Valuations'!$C$34:$C$50,0))</f>
        <v>2.6864801864801918E-2</v>
      </c>
      <c r="R360" s="4">
        <f>INDEX('Vessel Valuations'!H$34:H$50,MATCH($E360,'Vessel Valuations'!$C$34:$C$50,0))</f>
        <v>-2.5062160062160075</v>
      </c>
      <c r="S360" s="4">
        <f>INDEX('Vessel Valuations'!I$34:I$50,MATCH($E360,'Vessel Valuations'!$C$34:$C$50,0))</f>
        <v>55.67832167832168</v>
      </c>
      <c r="U360" s="218">
        <v>32888</v>
      </c>
      <c r="V360" s="185">
        <f>((INDEX('FFA &amp; Spot Rates'!F$23:F$43,MATCH(Hafnia!$E360,'FFA &amp; Spot Rates'!$C$23:$C$43,0))++$H360)*(1-INDEX(V$149:V$152,MATCH(Hafnia!$E360,$D$149:$D$152,0)))+INDEX(V$149:V$152,MATCH(Hafnia!$E360,$D$149:$D$152,0))*INDEX(V$154:V$157,MATCH(Hafnia!$E360,$D$154:$D$157,0)))</f>
        <v>33506.556917808222</v>
      </c>
      <c r="W360" s="185">
        <f>((INDEX('FFA &amp; Spot Rates'!G$23:G$43,MATCH(Hafnia!$E360,'FFA &amp; Spot Rates'!$C$23:$C$43,0))++$H360)*(1-INDEX(W$149:W$152,MATCH(Hafnia!$E360,$D$149:$D$152,0)))+INDEX(W$149:W$152,MATCH(Hafnia!$E360,$D$149:$D$152,0))*INDEX(W$154:W$157,MATCH(Hafnia!$E360,$D$154:$D$157,0)))</f>
        <v>27871.445205479453</v>
      </c>
      <c r="X360" s="185">
        <f>((INDEX('FFA &amp; Spot Rates'!H$23:H$43,MATCH(Hafnia!$E360,'FFA &amp; Spot Rates'!$C$23:$C$43,0))++$H360)*(1-INDEX(X$149:X$152,MATCH(Hafnia!$E360,$D$149:$D$152,0)))+INDEX(X$149:X$152,MATCH(Hafnia!$E360,$D$149:$D$152,0))*INDEX(X$154:X$157,MATCH(Hafnia!$E360,$D$154:$D$157,0)))</f>
        <v>39053.445205479453</v>
      </c>
      <c r="Y360" s="185">
        <f>INDEX('FFA &amp; Spot Rates'!I$23:I$43,MATCH(Hafnia!$E360,'FFA &amp; Spot Rates'!$C$23:$C$43,0))</f>
        <v>31390</v>
      </c>
      <c r="Z360" s="185"/>
      <c r="AA360" s="185"/>
      <c r="AB360" s="185"/>
      <c r="AC360" s="185"/>
      <c r="AD360" s="185"/>
      <c r="AI360" s="21"/>
      <c r="AJ360" s="21"/>
    </row>
    <row r="361" spans="3:36" s="20" customFormat="1" outlineLevel="1" x14ac:dyDescent="0.2">
      <c r="C361" s="157" t="s">
        <v>1077</v>
      </c>
      <c r="D361" s="157" t="s">
        <v>15</v>
      </c>
      <c r="E361" s="157" t="s">
        <v>15</v>
      </c>
      <c r="F361" s="158" t="s">
        <v>1064</v>
      </c>
      <c r="G361" s="118">
        <v>0</v>
      </c>
      <c r="H361" s="152">
        <f>INDEX(Premiums!$G$27:$G$30,MATCH(Hafnia!E361,Premiums!$E$27:$E$30,0))*G361</f>
        <v>0</v>
      </c>
      <c r="I361" s="186">
        <v>45996</v>
      </c>
      <c r="J361" s="157">
        <v>2011</v>
      </c>
      <c r="K361" s="63">
        <v>2024</v>
      </c>
      <c r="L361" s="56">
        <f t="shared" si="49"/>
        <v>13</v>
      </c>
      <c r="M361" s="1">
        <f t="shared" si="50"/>
        <v>0</v>
      </c>
      <c r="N361" s="184">
        <v>0</v>
      </c>
      <c r="P361" s="4">
        <f>INDEX('Vessel Valuations'!F$34:F$50,MATCH($E361,'Vessel Valuations'!$C$34:$C$50,0))</f>
        <v>7.8477078477077959E-5</v>
      </c>
      <c r="Q361" s="4">
        <f>INDEX('Vessel Valuations'!G$34:G$50,MATCH($E361,'Vessel Valuations'!$C$34:$C$50,0))</f>
        <v>2.6864801864801918E-2</v>
      </c>
      <c r="R361" s="4">
        <f>INDEX('Vessel Valuations'!H$34:H$50,MATCH($E361,'Vessel Valuations'!$C$34:$C$50,0))</f>
        <v>-2.5062160062160075</v>
      </c>
      <c r="S361" s="4">
        <f>INDEX('Vessel Valuations'!I$34:I$50,MATCH($E361,'Vessel Valuations'!$C$34:$C$50,0))</f>
        <v>55.67832167832168</v>
      </c>
      <c r="U361" s="218">
        <v>32888</v>
      </c>
      <c r="V361" s="185">
        <f>((INDEX('FFA &amp; Spot Rates'!F$23:F$43,MATCH(Hafnia!$E361,'FFA &amp; Spot Rates'!$C$23:$C$43,0))++$H361)*(1-INDEX(V$149:V$152,MATCH(Hafnia!$E361,$D$149:$D$152,0)))+INDEX(V$149:V$152,MATCH(Hafnia!$E361,$D$149:$D$152,0))*INDEX(V$154:V$157,MATCH(Hafnia!$E361,$D$154:$D$157,0)))</f>
        <v>33073.119999999995</v>
      </c>
      <c r="W361" s="185">
        <f>((INDEX('FFA &amp; Spot Rates'!G$23:G$43,MATCH(Hafnia!$E361,'FFA &amp; Spot Rates'!$C$23:$C$43,0))++$H361)*(1-INDEX(W$149:W$152,MATCH(Hafnia!$E361,$D$149:$D$152,0)))+INDEX(W$149:W$152,MATCH(Hafnia!$E361,$D$149:$D$152,0))*INDEX(W$154:W$157,MATCH(Hafnia!$E361,$D$154:$D$157,0)))</f>
        <v>26558</v>
      </c>
      <c r="X361" s="185">
        <f>((INDEX('FFA &amp; Spot Rates'!H$23:H$43,MATCH(Hafnia!$E361,'FFA &amp; Spot Rates'!$C$23:$C$43,0))++$H361)*(1-INDEX(X$149:X$152,MATCH(Hafnia!$E361,$D$149:$D$152,0)))+INDEX(X$149:X$152,MATCH(Hafnia!$E361,$D$149:$D$152,0))*INDEX(X$154:X$157,MATCH(Hafnia!$E361,$D$154:$D$157,0)))</f>
        <v>37740</v>
      </c>
      <c r="Y361" s="185">
        <f>INDEX('FFA &amp; Spot Rates'!I$23:I$43,MATCH(Hafnia!$E361,'FFA &amp; Spot Rates'!$C$23:$C$43,0))</f>
        <v>31390</v>
      </c>
      <c r="Z361" s="185"/>
      <c r="AA361" s="185"/>
      <c r="AB361" s="185"/>
      <c r="AC361" s="185"/>
      <c r="AD361" s="185"/>
      <c r="AI361" s="21"/>
      <c r="AJ361" s="21"/>
    </row>
    <row r="362" spans="3:36" s="20" customFormat="1" outlineLevel="1" x14ac:dyDescent="0.2">
      <c r="C362" s="163" t="s">
        <v>1078</v>
      </c>
      <c r="D362" s="163"/>
      <c r="E362" s="164"/>
      <c r="F362" s="164"/>
      <c r="G362" s="165"/>
      <c r="H362" s="165"/>
      <c r="I362" s="166"/>
      <c r="J362" s="163"/>
      <c r="K362" s="167"/>
      <c r="L362" s="168"/>
      <c r="M362" s="53">
        <f>SUM(M160:M361)</f>
        <v>4417.0226792540761</v>
      </c>
      <c r="N362" s="53"/>
      <c r="AI362" s="21"/>
      <c r="AJ362" s="21"/>
    </row>
    <row r="363" spans="3:36" s="20" customFormat="1" outlineLevel="1" x14ac:dyDescent="0.2">
      <c r="C363" s="163"/>
      <c r="D363" s="163"/>
      <c r="E363" s="164"/>
      <c r="F363" s="164"/>
      <c r="G363" s="165"/>
      <c r="H363" s="165"/>
      <c r="I363" s="166"/>
      <c r="J363" s="163"/>
      <c r="K363" s="167"/>
      <c r="L363" s="168"/>
      <c r="M363" s="53"/>
      <c r="N363" s="53"/>
      <c r="AI363" s="21"/>
      <c r="AJ363" s="21"/>
    </row>
    <row r="364" spans="3:36" s="20" customFormat="1" outlineLevel="1" x14ac:dyDescent="0.2">
      <c r="C364" s="169" t="s">
        <v>1080</v>
      </c>
      <c r="D364" s="169">
        <f>342-141+1</f>
        <v>202</v>
      </c>
      <c r="E364" s="170">
        <f>328-260</f>
        <v>68</v>
      </c>
      <c r="F364" s="171"/>
      <c r="G364" s="171"/>
      <c r="H364" s="172"/>
      <c r="I364" s="169"/>
      <c r="J364" s="173"/>
      <c r="K364" s="174"/>
      <c r="L364" s="175"/>
      <c r="M364" s="175"/>
      <c r="AI364" s="21"/>
      <c r="AJ364" s="21"/>
    </row>
    <row r="365" spans="3:36" ht="15.75" x14ac:dyDescent="0.2">
      <c r="C365" s="176"/>
      <c r="D365" s="177"/>
      <c r="L365" s="162"/>
      <c r="M365" s="162"/>
    </row>
    <row r="366" spans="3:36" s="20" customFormat="1" x14ac:dyDescent="0.2">
      <c r="C366" s="49" t="s">
        <v>704</v>
      </c>
      <c r="D366" s="52"/>
      <c r="E366" s="52"/>
      <c r="F366" s="52" t="s">
        <v>1081</v>
      </c>
      <c r="G366" s="156" t="s">
        <v>1103</v>
      </c>
      <c r="H366" s="156" t="s">
        <v>1104</v>
      </c>
      <c r="AI366" s="21"/>
      <c r="AJ366" s="21"/>
    </row>
    <row r="367" spans="3:36" s="20" customFormat="1" x14ac:dyDescent="0.2">
      <c r="C367" s="17" t="s">
        <v>705</v>
      </c>
      <c r="D367" s="1"/>
      <c r="E367" s="1"/>
      <c r="F367" s="6">
        <f>M362</f>
        <v>4417.0226792540761</v>
      </c>
      <c r="G367" s="202">
        <v>4682</v>
      </c>
      <c r="H367" s="220">
        <f>F367-G367</f>
        <v>-264.97732074592386</v>
      </c>
      <c r="AI367" s="21"/>
      <c r="AJ367" s="21"/>
    </row>
    <row r="368" spans="3:36" s="20" customFormat="1" x14ac:dyDescent="0.2">
      <c r="C368" s="17" t="s">
        <v>1099</v>
      </c>
      <c r="D368" s="1"/>
      <c r="E368" s="1"/>
      <c r="F368" s="150">
        <v>120</v>
      </c>
      <c r="AI368" s="21"/>
      <c r="AJ368" s="21"/>
    </row>
    <row r="369" spans="3:36" s="20" customFormat="1" x14ac:dyDescent="0.2">
      <c r="C369" s="17" t="s">
        <v>1082</v>
      </c>
      <c r="D369" s="1"/>
      <c r="E369" s="1"/>
      <c r="F369" s="1">
        <v>0</v>
      </c>
      <c r="AI369" s="21"/>
      <c r="AJ369" s="21"/>
    </row>
    <row r="370" spans="3:36" s="20" customFormat="1" x14ac:dyDescent="0.2">
      <c r="C370" s="17" t="s">
        <v>706</v>
      </c>
      <c r="D370" s="118"/>
      <c r="E370" s="118"/>
      <c r="F370" s="118">
        <f>U106+U107</f>
        <v>216.62</v>
      </c>
      <c r="AI370" s="21"/>
      <c r="AJ370" s="21"/>
    </row>
    <row r="371" spans="3:36" s="20" customFormat="1" x14ac:dyDescent="0.2">
      <c r="C371" s="17" t="s">
        <v>707</v>
      </c>
      <c r="D371" s="118"/>
      <c r="E371" s="118"/>
      <c r="AI371" s="21"/>
      <c r="AJ371" s="21"/>
    </row>
    <row r="372" spans="3:36" s="20" customFormat="1" x14ac:dyDescent="0.2">
      <c r="C372" s="17" t="s">
        <v>708</v>
      </c>
      <c r="D372" s="118"/>
      <c r="E372" s="118"/>
      <c r="F372" s="39">
        <f>U134</f>
        <v>365.14399999999995</v>
      </c>
      <c r="AI372" s="21"/>
      <c r="AJ372" s="21"/>
    </row>
    <row r="373" spans="3:36" s="20" customFormat="1" x14ac:dyDescent="0.2">
      <c r="C373" s="17" t="s">
        <v>709</v>
      </c>
      <c r="D373" s="118"/>
      <c r="E373" s="118"/>
      <c r="F373" s="39">
        <f>-U131</f>
        <v>-1195.768</v>
      </c>
      <c r="AI373" s="21"/>
      <c r="AJ373" s="21"/>
    </row>
    <row r="374" spans="3:36" s="20" customFormat="1" x14ac:dyDescent="0.2">
      <c r="C374" s="17" t="s">
        <v>710</v>
      </c>
      <c r="D374" s="118"/>
      <c r="E374" s="118"/>
      <c r="F374" s="118">
        <v>0</v>
      </c>
      <c r="AI374" s="21"/>
      <c r="AJ374" s="21"/>
    </row>
    <row r="375" spans="3:36" s="20" customFormat="1" x14ac:dyDescent="0.2">
      <c r="C375" s="17" t="s">
        <v>715</v>
      </c>
      <c r="D375" s="118"/>
      <c r="E375" s="118"/>
      <c r="F375" s="118"/>
      <c r="AI375" s="21"/>
      <c r="AJ375" s="21"/>
    </row>
    <row r="376" spans="3:36" s="20" customFormat="1" x14ac:dyDescent="0.2">
      <c r="C376" s="17" t="s">
        <v>411</v>
      </c>
      <c r="D376" s="118"/>
      <c r="E376" s="118"/>
      <c r="F376" s="118">
        <f>-U77</f>
        <v>123.52</v>
      </c>
      <c r="AI376" s="21"/>
      <c r="AJ376" s="21"/>
    </row>
    <row r="377" spans="3:36" s="20" customFormat="1" x14ac:dyDescent="0.2">
      <c r="C377" s="119" t="s">
        <v>704</v>
      </c>
      <c r="D377" s="120"/>
      <c r="E377" s="120"/>
      <c r="F377" s="120">
        <f>+SUM(F367:F376)</f>
        <v>4046.5386792540762</v>
      </c>
      <c r="G377" s="203">
        <v>4300</v>
      </c>
      <c r="H377" s="219">
        <f>F377-G377</f>
        <v>-253.46132074592379</v>
      </c>
      <c r="AI377" s="21"/>
      <c r="AJ377" s="21"/>
    </row>
    <row r="378" spans="3:36" x14ac:dyDescent="0.2">
      <c r="E378" s="183"/>
    </row>
    <row r="379" spans="3:36" s="20" customFormat="1" x14ac:dyDescent="0.2">
      <c r="C379" s="17" t="s">
        <v>712</v>
      </c>
      <c r="D379" s="135"/>
      <c r="E379" s="135"/>
      <c r="F379" s="135">
        <v>509.8</v>
      </c>
      <c r="AI379" s="21"/>
      <c r="AJ379" s="21"/>
    </row>
    <row r="380" spans="3:36" x14ac:dyDescent="0.2">
      <c r="C380" s="17" t="s">
        <v>1121</v>
      </c>
      <c r="F380" s="204">
        <f>F377/$F$379</f>
        <v>7.93750231317002</v>
      </c>
      <c r="G380" s="204">
        <f>G377/$F$379</f>
        <v>8.4346802667712826</v>
      </c>
    </row>
    <row r="383" spans="3:36" x14ac:dyDescent="0.2">
      <c r="D383" s="17" t="s">
        <v>1120</v>
      </c>
    </row>
    <row r="384" spans="3:36" x14ac:dyDescent="0.2">
      <c r="C384" s="17" t="e" vm="28">
        <v>#VALUE!</v>
      </c>
      <c r="D384" s="225" cm="1">
        <f t="array" ref="D384">_FV(C384,"Price")</f>
        <v>7.49</v>
      </c>
      <c r="E384" s="226"/>
    </row>
    <row r="385" spans="3:36" s="20" customFormat="1" x14ac:dyDescent="0.2">
      <c r="C385" s="17" t="s">
        <v>716</v>
      </c>
      <c r="D385" s="85"/>
      <c r="E385" s="118"/>
      <c r="F385" s="118">
        <f>+$D$384*F379</f>
        <v>3818.402</v>
      </c>
      <c r="AI385" s="21"/>
      <c r="AJ385" s="21"/>
    </row>
    <row r="386" spans="3:36" s="20" customFormat="1" x14ac:dyDescent="0.2">
      <c r="C386" s="18" t="s">
        <v>30</v>
      </c>
      <c r="D386" s="121"/>
      <c r="E386" s="121"/>
      <c r="F386" s="205">
        <f>+F385/F377</f>
        <v>0.94362177225101185</v>
      </c>
      <c r="G386" s="204">
        <f>F385/G377</f>
        <v>0.88800046511627906</v>
      </c>
      <c r="AI386" s="21"/>
      <c r="AJ386" s="21"/>
    </row>
    <row r="387" spans="3:36" s="20" customFormat="1" ht="15.75" x14ac:dyDescent="0.2">
      <c r="C387" s="176"/>
      <c r="D387" s="177"/>
      <c r="AI387" s="21"/>
      <c r="AJ387" s="21"/>
    </row>
  </sheetData>
  <mergeCells count="6">
    <mergeCell ref="Z3:AD3"/>
    <mergeCell ref="C3:C4"/>
    <mergeCell ref="F3:J3"/>
    <mergeCell ref="K3:O3"/>
    <mergeCell ref="P3:T3"/>
    <mergeCell ref="U3:Y3"/>
  </mergeCells>
  <conditionalFormatting sqref="J160:J363 I362:I364">
    <cfRule type="cellIs" dxfId="2" priority="2" operator="greaterThan">
      <formula>2014.5</formula>
    </cfRule>
  </conditionalFormatting>
  <pageMargins left="0.7" right="0.7" top="0.75" bottom="0.75" header="0.3" footer="0.3"/>
  <ignoredErrors>
    <ignoredError sqref="Y23:Y30 Y78 O132:Y132 Y32:Y76 Y14:Y16 Y7 Y17:Y19 Y9 Y8 Y10:Y11" formulaRange="1"/>
    <ignoredError sqref="O17:O19 T22 O21:O42" unlockedFormula="1"/>
    <ignoredError sqref="AD31 AD20 AD47 AD82:AD85 AD13" evalError="1"/>
    <ignoredError sqref="Y12" formula="1" formulaRange="1"/>
    <ignoredError sqref="Y106" formula="1"/>
  </ignoredErrors>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37BD7-1D08-4BB5-8D0B-6F16CA19D510}">
  <dimension ref="C3:AJ381"/>
  <sheetViews>
    <sheetView showGridLines="0" zoomScale="110" zoomScaleNormal="110" workbookViewId="0">
      <pane xSplit="3" ySplit="4" topLeftCell="D5" activePane="bottomRight" state="frozen"/>
      <selection pane="topRight" activeCell="D1" sqref="D1"/>
      <selection pane="bottomLeft" activeCell="A5" sqref="A5"/>
      <selection pane="bottomRight" activeCell="U64" sqref="U64"/>
    </sheetView>
  </sheetViews>
  <sheetFormatPr defaultColWidth="8.7109375" defaultRowHeight="12.75" x14ac:dyDescent="0.2"/>
  <cols>
    <col min="1" max="1" width="2.5703125" style="17" customWidth="1"/>
    <col min="2" max="2" width="2.7109375" style="17" customWidth="1"/>
    <col min="3" max="3" width="45.28515625" style="17" bestFit="1" customWidth="1"/>
    <col min="4" max="4" width="8.5703125" style="17" customWidth="1"/>
    <col min="5" max="18" width="8.5703125" style="20" customWidth="1"/>
    <col min="19" max="34" width="10.5703125" style="20" customWidth="1"/>
    <col min="35" max="36" width="8.7109375" style="21"/>
    <col min="37" max="16384" width="8.7109375" style="17"/>
  </cols>
  <sheetData>
    <row r="3" spans="3:36" s="20" customFormat="1" ht="15" customHeight="1" thickBot="1" x14ac:dyDescent="0.25">
      <c r="C3" s="237" t="s">
        <v>96</v>
      </c>
      <c r="D3" s="24"/>
      <c r="E3" s="25" t="s">
        <v>100</v>
      </c>
      <c r="F3" s="234" t="s">
        <v>101</v>
      </c>
      <c r="G3" s="235"/>
      <c r="H3" s="235"/>
      <c r="I3" s="235"/>
      <c r="J3" s="236"/>
      <c r="K3" s="234" t="s">
        <v>102</v>
      </c>
      <c r="L3" s="235"/>
      <c r="M3" s="235"/>
      <c r="N3" s="235"/>
      <c r="O3" s="236"/>
      <c r="P3" s="234" t="s">
        <v>103</v>
      </c>
      <c r="Q3" s="235"/>
      <c r="R3" s="235"/>
      <c r="S3" s="235"/>
      <c r="T3" s="236"/>
      <c r="U3" s="234" t="s">
        <v>104</v>
      </c>
      <c r="V3" s="235"/>
      <c r="W3" s="235"/>
      <c r="X3" s="235"/>
      <c r="Y3" s="236"/>
      <c r="Z3" s="234" t="s">
        <v>105</v>
      </c>
      <c r="AA3" s="235"/>
      <c r="AB3" s="235"/>
      <c r="AC3" s="235"/>
      <c r="AD3" s="236"/>
      <c r="AI3" s="21"/>
      <c r="AJ3" s="21"/>
    </row>
    <row r="4" spans="3:36" s="20" customFormat="1" ht="13.5" thickBot="1" x14ac:dyDescent="0.25">
      <c r="C4" s="236"/>
      <c r="D4" s="24"/>
      <c r="E4" s="26" t="s">
        <v>97</v>
      </c>
      <c r="F4" s="27">
        <v>44256</v>
      </c>
      <c r="G4" s="27">
        <v>44348</v>
      </c>
      <c r="H4" s="27">
        <v>44440</v>
      </c>
      <c r="I4" s="27">
        <v>44531</v>
      </c>
      <c r="J4" s="26" t="s">
        <v>97</v>
      </c>
      <c r="K4" s="27">
        <v>44621</v>
      </c>
      <c r="L4" s="27">
        <v>44713</v>
      </c>
      <c r="M4" s="27">
        <v>44805</v>
      </c>
      <c r="N4" s="27">
        <v>44896</v>
      </c>
      <c r="O4" s="26" t="s">
        <v>97</v>
      </c>
      <c r="P4" s="27">
        <v>44986</v>
      </c>
      <c r="Q4" s="27">
        <v>45078</v>
      </c>
      <c r="R4" s="27">
        <v>45170</v>
      </c>
      <c r="S4" s="27">
        <v>45261</v>
      </c>
      <c r="T4" s="26" t="s">
        <v>97</v>
      </c>
      <c r="U4" s="27">
        <v>45352</v>
      </c>
      <c r="V4" s="27">
        <v>45444</v>
      </c>
      <c r="W4" s="27">
        <v>45536</v>
      </c>
      <c r="X4" s="27">
        <v>45627</v>
      </c>
      <c r="Y4" s="26" t="s">
        <v>97</v>
      </c>
      <c r="Z4" s="27">
        <v>45717</v>
      </c>
      <c r="AA4" s="27">
        <v>45809</v>
      </c>
      <c r="AB4" s="27">
        <v>45901</v>
      </c>
      <c r="AC4" s="27">
        <v>45992</v>
      </c>
      <c r="AD4" s="26" t="s">
        <v>97</v>
      </c>
      <c r="AI4" s="21"/>
      <c r="AJ4" s="21"/>
    </row>
    <row r="5" spans="3:36" s="20" customFormat="1" ht="5.0999999999999996" customHeight="1" x14ac:dyDescent="0.2">
      <c r="C5" s="28"/>
      <c r="D5" s="28"/>
      <c r="E5" s="29"/>
      <c r="F5" s="29"/>
      <c r="G5" s="29"/>
      <c r="H5" s="29"/>
      <c r="I5" s="29"/>
      <c r="J5" s="29"/>
      <c r="K5" s="29"/>
      <c r="L5" s="29"/>
      <c r="M5" s="29"/>
      <c r="N5" s="29"/>
      <c r="O5" s="29"/>
      <c r="P5" s="29"/>
      <c r="Q5" s="29"/>
      <c r="R5" s="29"/>
      <c r="S5" s="29"/>
      <c r="T5" s="29"/>
      <c r="U5" s="29"/>
      <c r="V5" s="29"/>
      <c r="W5" s="29"/>
      <c r="AI5" s="21"/>
      <c r="AJ5" s="21"/>
    </row>
    <row r="6" spans="3:36" s="20" customFormat="1" x14ac:dyDescent="0.2">
      <c r="C6" s="30" t="s">
        <v>98</v>
      </c>
      <c r="D6" s="30"/>
      <c r="E6" s="31"/>
      <c r="F6" s="31"/>
      <c r="G6" s="31"/>
      <c r="H6" s="31"/>
      <c r="I6" s="31"/>
      <c r="J6" s="31"/>
      <c r="K6" s="31"/>
      <c r="L6" s="31"/>
      <c r="M6" s="31"/>
      <c r="N6" s="31"/>
      <c r="O6" s="31"/>
      <c r="P6" s="31"/>
      <c r="Q6" s="31"/>
      <c r="R6" s="31"/>
      <c r="S6" s="31"/>
      <c r="T6" s="31"/>
      <c r="U6" s="31"/>
      <c r="V6" s="31"/>
      <c r="W6" s="31"/>
      <c r="X6" s="31"/>
      <c r="Y6" s="31"/>
      <c r="Z6" s="31"/>
      <c r="AA6" s="31"/>
      <c r="AB6" s="31"/>
      <c r="AC6" s="31"/>
      <c r="AD6" s="31"/>
      <c r="AI6" s="21"/>
      <c r="AJ6" s="21"/>
    </row>
    <row r="7" spans="3:36" s="20" customFormat="1" x14ac:dyDescent="0.2">
      <c r="C7" s="17" t="s">
        <v>202</v>
      </c>
      <c r="D7" s="17"/>
      <c r="E7" s="34">
        <v>272.98</v>
      </c>
      <c r="F7" s="34">
        <v>24.658999999999999</v>
      </c>
      <c r="G7" s="34">
        <v>26.454999999999998</v>
      </c>
      <c r="H7" s="34">
        <v>50.542999999999999</v>
      </c>
      <c r="I7" s="34">
        <v>74.34</v>
      </c>
      <c r="J7" s="34">
        <v>175.99700000000001</v>
      </c>
      <c r="K7" s="34">
        <v>83.762</v>
      </c>
      <c r="L7" s="34">
        <v>164.727</v>
      </c>
      <c r="M7" s="34">
        <v>215.24</v>
      </c>
      <c r="N7" s="34">
        <v>311.19299999999998</v>
      </c>
      <c r="O7" s="34">
        <v>774.92200000000003</v>
      </c>
      <c r="P7" s="34">
        <v>259.57799999999997</v>
      </c>
      <c r="Q7" s="34">
        <v>247.59100000000001</v>
      </c>
      <c r="R7" s="34">
        <v>194.465</v>
      </c>
      <c r="S7" s="34">
        <v>204.17400000000001</v>
      </c>
      <c r="T7" s="34">
        <f>+SUM(P7:S7)</f>
        <v>905.80799999999999</v>
      </c>
      <c r="U7" s="34"/>
      <c r="V7" s="34"/>
      <c r="W7" s="34"/>
      <c r="X7" s="34"/>
      <c r="Y7" s="34"/>
      <c r="Z7" s="34"/>
      <c r="AA7" s="34"/>
      <c r="AB7" s="34"/>
      <c r="AC7" s="34"/>
      <c r="AD7" s="34"/>
      <c r="AI7" s="21"/>
      <c r="AJ7" s="21"/>
    </row>
    <row r="8" spans="3:36" s="20" customFormat="1" x14ac:dyDescent="0.2">
      <c r="C8" s="17" t="s">
        <v>203</v>
      </c>
      <c r="D8" s="17"/>
      <c r="E8" s="34">
        <v>88.718999999999994</v>
      </c>
      <c r="F8" s="34">
        <v>14.698</v>
      </c>
      <c r="G8" s="34">
        <v>11.714</v>
      </c>
      <c r="H8" s="34">
        <v>13.664</v>
      </c>
      <c r="I8" s="34">
        <v>10.018000000000001</v>
      </c>
      <c r="J8" s="34">
        <v>50.094000000000001</v>
      </c>
      <c r="K8" s="34">
        <v>6.1749999999999998</v>
      </c>
      <c r="L8" s="34">
        <v>8.1329999999999991</v>
      </c>
      <c r="M8" s="34">
        <v>8.4870000000000001</v>
      </c>
      <c r="N8" s="34">
        <v>10.239000000000001</v>
      </c>
      <c r="O8" s="34">
        <v>33.034000000000006</v>
      </c>
      <c r="P8" s="34">
        <v>13.15</v>
      </c>
      <c r="Q8" s="34">
        <v>26.111999999999998</v>
      </c>
      <c r="R8" s="34">
        <v>27.587</v>
      </c>
      <c r="S8" s="34">
        <v>29.695</v>
      </c>
      <c r="T8" s="34">
        <f>+SUM(P8:S8)</f>
        <v>96.544000000000011</v>
      </c>
      <c r="U8" s="34"/>
      <c r="V8" s="34"/>
      <c r="W8" s="34"/>
      <c r="X8" s="34"/>
      <c r="Y8" s="34"/>
      <c r="Z8" s="34"/>
      <c r="AA8" s="34"/>
      <c r="AB8" s="34"/>
      <c r="AC8" s="34"/>
      <c r="AD8" s="34"/>
      <c r="AI8" s="21"/>
      <c r="AJ8" s="21"/>
    </row>
    <row r="9" spans="3:36" s="20" customFormat="1" x14ac:dyDescent="0.2">
      <c r="C9" s="17" t="s">
        <v>204</v>
      </c>
      <c r="D9" s="17"/>
      <c r="E9" s="34">
        <v>59.948999999999998</v>
      </c>
      <c r="F9" s="34">
        <v>7.399</v>
      </c>
      <c r="G9" s="34">
        <v>8.1349999999999998</v>
      </c>
      <c r="H9" s="34">
        <v>20.609000000000002</v>
      </c>
      <c r="I9" s="34">
        <v>10.311999999999999</v>
      </c>
      <c r="J9" s="34">
        <v>46.454999999999998</v>
      </c>
      <c r="K9" s="34">
        <v>11.545</v>
      </c>
      <c r="L9" s="34">
        <v>15.337</v>
      </c>
      <c r="M9" s="34">
        <v>13.102</v>
      </c>
      <c r="N9" s="34">
        <v>16.725000000000001</v>
      </c>
      <c r="O9" s="34">
        <v>56.708999999999996</v>
      </c>
      <c r="P9" s="34">
        <v>14.401999999999999</v>
      </c>
      <c r="Q9" s="34">
        <v>18.5</v>
      </c>
      <c r="R9" s="34">
        <v>19.655999999999999</v>
      </c>
      <c r="S9" s="34">
        <v>16.864999999999998</v>
      </c>
      <c r="T9" s="34">
        <f>+SUM(P9:S9)</f>
        <v>69.423000000000002</v>
      </c>
      <c r="U9" s="34"/>
      <c r="V9" s="34"/>
      <c r="W9" s="34"/>
      <c r="X9" s="34"/>
      <c r="Y9" s="34"/>
      <c r="Z9" s="34"/>
      <c r="AA9" s="34"/>
      <c r="AB9" s="34"/>
      <c r="AC9" s="34"/>
      <c r="AD9" s="34"/>
      <c r="AI9" s="21"/>
      <c r="AJ9" s="21"/>
    </row>
    <row r="10" spans="3:36" s="20" customFormat="1" x14ac:dyDescent="0.2">
      <c r="C10" s="32" t="s">
        <v>205</v>
      </c>
      <c r="D10" s="32"/>
      <c r="E10" s="33">
        <f t="shared" ref="E10:T10" si="0">SUM(E7:E9)</f>
        <v>421.64800000000002</v>
      </c>
      <c r="F10" s="33">
        <f t="shared" si="0"/>
        <v>46.756</v>
      </c>
      <c r="G10" s="33">
        <f t="shared" si="0"/>
        <v>46.303999999999995</v>
      </c>
      <c r="H10" s="33">
        <f t="shared" si="0"/>
        <v>84.816000000000003</v>
      </c>
      <c r="I10" s="33">
        <f t="shared" si="0"/>
        <v>94.67</v>
      </c>
      <c r="J10" s="33">
        <f t="shared" si="0"/>
        <v>272.54599999999999</v>
      </c>
      <c r="K10" s="33">
        <f t="shared" si="0"/>
        <v>101.482</v>
      </c>
      <c r="L10" s="33">
        <f t="shared" si="0"/>
        <v>188.197</v>
      </c>
      <c r="M10" s="33">
        <f t="shared" si="0"/>
        <v>236.82900000000001</v>
      </c>
      <c r="N10" s="33">
        <f t="shared" si="0"/>
        <v>338.15699999999998</v>
      </c>
      <c r="O10" s="33">
        <f t="shared" si="0"/>
        <v>864.66499999999996</v>
      </c>
      <c r="P10" s="33">
        <f t="shared" si="0"/>
        <v>287.12999999999994</v>
      </c>
      <c r="Q10" s="33">
        <f t="shared" si="0"/>
        <v>292.20300000000003</v>
      </c>
      <c r="R10" s="33">
        <f t="shared" si="0"/>
        <v>241.708</v>
      </c>
      <c r="S10" s="33">
        <f t="shared" si="0"/>
        <v>250.73400000000001</v>
      </c>
      <c r="T10" s="33">
        <f t="shared" si="0"/>
        <v>1071.7750000000001</v>
      </c>
      <c r="U10" s="33">
        <f>+SUM(U236:U307)*U233*U232/1000000</f>
        <v>238.92305999999999</v>
      </c>
      <c r="V10" s="33">
        <v>283.44516900583557</v>
      </c>
      <c r="W10" s="33">
        <f>+SUM(W236:W307)*W233*W232/1000000</f>
        <v>222.69253051010196</v>
      </c>
      <c r="X10" s="33">
        <f>+SUM(X236:X307)*X233*X232/1000000</f>
        <v>322.25014810414717</v>
      </c>
      <c r="Y10" s="33">
        <f>+X10+W10+V10+U10</f>
        <v>1067.3109076200849</v>
      </c>
      <c r="Z10" s="33">
        <f>+SUM(Z236:Z307)*Z233*Z232/1000000</f>
        <v>289.49223445684947</v>
      </c>
      <c r="AA10" s="33">
        <f>+SUM(AA236:AA307)*AA233*AA232/1000000</f>
        <v>264.15463720684932</v>
      </c>
      <c r="AB10" s="33">
        <f>+SUM(AB236:AB307)*AB233*AB232/1000000</f>
        <v>248.2152911568493</v>
      </c>
      <c r="AC10" s="33">
        <f>+SUM(AC236:AC307)*AC233*AC232/1000000</f>
        <v>357.85489945684947</v>
      </c>
      <c r="AD10" s="33">
        <f>+AC10+AB10+AA10+Z10</f>
        <v>1159.7170622773974</v>
      </c>
      <c r="AI10" s="21"/>
      <c r="AJ10" s="21"/>
    </row>
    <row r="11" spans="3:36" s="20" customFormat="1" ht="5.0999999999999996" customHeight="1" x14ac:dyDescent="0.2">
      <c r="C11" s="18"/>
      <c r="D11" s="18"/>
      <c r="E11" s="35"/>
      <c r="F11" s="35"/>
      <c r="G11" s="35"/>
      <c r="H11" s="35"/>
      <c r="I11" s="35"/>
      <c r="J11" s="35"/>
      <c r="K11" s="35"/>
      <c r="L11" s="35"/>
      <c r="M11" s="35"/>
      <c r="N11" s="35"/>
      <c r="O11" s="35"/>
      <c r="P11" s="35"/>
      <c r="Q11" s="35"/>
      <c r="R11" s="35"/>
      <c r="S11" s="35"/>
      <c r="AI11" s="21"/>
      <c r="AJ11" s="21"/>
    </row>
    <row r="12" spans="3:36" s="20" customFormat="1" x14ac:dyDescent="0.2">
      <c r="C12" s="17" t="s">
        <v>206</v>
      </c>
      <c r="D12" s="17"/>
      <c r="E12" s="34">
        <v>-19.643000000000001</v>
      </c>
      <c r="F12" s="34">
        <v>-1.587</v>
      </c>
      <c r="G12" s="34">
        <v>-1.5860000000000001</v>
      </c>
      <c r="H12" s="34">
        <v>-11.848000000000001</v>
      </c>
      <c r="I12" s="34">
        <v>-1.665</v>
      </c>
      <c r="J12" s="34">
        <v>-16.686</v>
      </c>
      <c r="K12" s="34">
        <v>-3.5070000000000001</v>
      </c>
      <c r="L12" s="34">
        <v>-2.6579999999999999</v>
      </c>
      <c r="M12" s="34">
        <v>-2.2829999999999999</v>
      </c>
      <c r="N12" s="34">
        <v>-2.5070000000000001</v>
      </c>
      <c r="O12" s="34">
        <v>-10.955</v>
      </c>
      <c r="P12" s="34">
        <v>-3.81</v>
      </c>
      <c r="Q12" s="34">
        <v>-3.8679999999999999</v>
      </c>
      <c r="R12" s="34">
        <v>-5.7560000000000002</v>
      </c>
      <c r="S12" s="34">
        <v>-2.8220000000000001</v>
      </c>
      <c r="T12" s="34">
        <f>+SUM(P12:S12)</f>
        <v>-16.256</v>
      </c>
      <c r="U12" s="40">
        <v>0</v>
      </c>
      <c r="V12" s="40">
        <v>0</v>
      </c>
      <c r="W12" s="40">
        <v>0</v>
      </c>
      <c r="X12" s="40">
        <v>0</v>
      </c>
      <c r="Y12" s="40"/>
      <c r="Z12" s="40">
        <v>0</v>
      </c>
      <c r="AA12" s="40">
        <v>0</v>
      </c>
      <c r="AB12" s="40">
        <v>0</v>
      </c>
      <c r="AC12" s="40">
        <v>0</v>
      </c>
      <c r="AD12" s="40"/>
      <c r="AI12" s="21"/>
      <c r="AJ12" s="21"/>
    </row>
    <row r="13" spans="3:36" s="20" customFormat="1" x14ac:dyDescent="0.2">
      <c r="C13" s="17" t="s">
        <v>207</v>
      </c>
      <c r="D13" s="17"/>
      <c r="E13" s="34">
        <v>-128.37299999999999</v>
      </c>
      <c r="F13" s="34">
        <v>-26.327000000000002</v>
      </c>
      <c r="G13" s="34">
        <v>-27.876999999999999</v>
      </c>
      <c r="H13" s="34">
        <v>-58.173999999999999</v>
      </c>
      <c r="I13" s="34">
        <v>-70.679000000000002</v>
      </c>
      <c r="J13" s="34">
        <v>-183.05700000000002</v>
      </c>
      <c r="K13" s="34">
        <v>-60.317</v>
      </c>
      <c r="L13" s="34">
        <v>-59.563000000000002</v>
      </c>
      <c r="M13" s="34">
        <v>-58.564999999999998</v>
      </c>
      <c r="N13" s="34">
        <v>-62.228999999999999</v>
      </c>
      <c r="O13" s="34">
        <v>-240.67399999999998</v>
      </c>
      <c r="P13" s="34">
        <v>-58.768999999999998</v>
      </c>
      <c r="Q13" s="34">
        <v>-65.150999999999996</v>
      </c>
      <c r="R13" s="34">
        <v>-64.596000000000004</v>
      </c>
      <c r="S13" s="34">
        <v>-71.022999999999996</v>
      </c>
      <c r="T13" s="34">
        <f>+SUM(P13:S13)</f>
        <v>-259.53899999999999</v>
      </c>
      <c r="U13" s="40">
        <v>-64</v>
      </c>
      <c r="V13" s="40">
        <f>+($Y$13-$U$13)/3</f>
        <v>-62.333333333333336</v>
      </c>
      <c r="W13" s="40">
        <f>+($Y$13-$U$13)/3</f>
        <v>-62.333333333333336</v>
      </c>
      <c r="X13" s="40">
        <f>+($Y$13-$U$13)/3</f>
        <v>-62.333333333333336</v>
      </c>
      <c r="Y13" s="40">
        <v>-251</v>
      </c>
      <c r="Z13" s="40"/>
      <c r="AA13" s="40"/>
      <c r="AB13" s="40"/>
      <c r="AC13" s="40"/>
      <c r="AD13" s="40"/>
      <c r="AI13" s="21"/>
      <c r="AJ13" s="21"/>
    </row>
    <row r="14" spans="3:36" s="20" customFormat="1" x14ac:dyDescent="0.2">
      <c r="C14" s="17" t="s">
        <v>208</v>
      </c>
      <c r="D14" s="17"/>
      <c r="E14" s="34">
        <v>-30.114000000000001</v>
      </c>
      <c r="F14" s="34">
        <v>-5.7409999999999997</v>
      </c>
      <c r="G14" s="34">
        <v>-5.8630000000000004</v>
      </c>
      <c r="H14" s="34">
        <v>-5.6790000000000003</v>
      </c>
      <c r="I14" s="34">
        <v>-6.6509999999999998</v>
      </c>
      <c r="J14" s="34">
        <v>-23.934000000000001</v>
      </c>
      <c r="K14" s="34">
        <v>-7.3090000000000002</v>
      </c>
      <c r="L14" s="34">
        <v>-7.6929999999999996</v>
      </c>
      <c r="M14" s="34">
        <v>-7.7969999999999997</v>
      </c>
      <c r="N14" s="34">
        <v>-9.3330000000000002</v>
      </c>
      <c r="O14" s="34">
        <v>-32.131999999999998</v>
      </c>
      <c r="P14" s="34">
        <v>-8.8000000000000007</v>
      </c>
      <c r="Q14" s="34">
        <v>-10.502000000000001</v>
      </c>
      <c r="R14" s="34">
        <v>-11.297000000000001</v>
      </c>
      <c r="S14" s="34">
        <v>-8.8049999999999997</v>
      </c>
      <c r="T14" s="34">
        <f>+SUM(P14:S14)</f>
        <v>-39.403999999999996</v>
      </c>
      <c r="U14" s="40">
        <v>-6</v>
      </c>
      <c r="V14" s="40">
        <f>+($Y$14-$U$14)/3</f>
        <v>-6.166666666666667</v>
      </c>
      <c r="W14" s="40">
        <f>+($Y$14-$U$14)/3</f>
        <v>-6.166666666666667</v>
      </c>
      <c r="X14" s="40">
        <f>+($Y$14-$U$14)/3</f>
        <v>-6.166666666666667</v>
      </c>
      <c r="Y14" s="40">
        <v>-24.5</v>
      </c>
      <c r="Z14" s="40"/>
      <c r="AA14" s="40"/>
      <c r="AB14" s="40"/>
      <c r="AC14" s="40"/>
      <c r="AD14" s="40"/>
      <c r="AI14" s="21"/>
      <c r="AJ14" s="21"/>
    </row>
    <row r="15" spans="3:36" s="20" customFormat="1" x14ac:dyDescent="0.2">
      <c r="C15" s="17" t="s">
        <v>80</v>
      </c>
      <c r="D15" s="17"/>
      <c r="E15" s="34">
        <v>-29.047000000000001</v>
      </c>
      <c r="F15" s="34">
        <v>-8.14</v>
      </c>
      <c r="G15" s="34">
        <v>-6.8289999999999997</v>
      </c>
      <c r="H15" s="34">
        <v>-8.1910000000000007</v>
      </c>
      <c r="I15" s="34">
        <v>-10.096</v>
      </c>
      <c r="J15" s="34">
        <v>-33.256</v>
      </c>
      <c r="K15" s="34">
        <v>-10.166</v>
      </c>
      <c r="L15" s="34">
        <v>-10.847</v>
      </c>
      <c r="M15" s="34">
        <v>-11.839</v>
      </c>
      <c r="N15" s="34">
        <v>-13.499000000000001</v>
      </c>
      <c r="O15" s="34">
        <v>-46.350999999999999</v>
      </c>
      <c r="P15" s="34">
        <v>-11.246</v>
      </c>
      <c r="Q15" s="34">
        <v>-11.522</v>
      </c>
      <c r="R15" s="34">
        <v>-12.314</v>
      </c>
      <c r="S15" s="34">
        <v>-12.391</v>
      </c>
      <c r="T15" s="34">
        <f>+SUM(P15:S15)</f>
        <v>-47.472999999999999</v>
      </c>
      <c r="U15" s="40">
        <v>-12</v>
      </c>
      <c r="V15" s="40">
        <v>-12</v>
      </c>
      <c r="W15" s="40">
        <v>-12</v>
      </c>
      <c r="X15" s="40">
        <v>-12</v>
      </c>
      <c r="Y15" s="40">
        <f>+SUM(U15:X15)</f>
        <v>-48</v>
      </c>
      <c r="Z15" s="40"/>
      <c r="AA15" s="40"/>
      <c r="AB15" s="40"/>
      <c r="AC15" s="40"/>
      <c r="AD15" s="40"/>
      <c r="AI15" s="21"/>
      <c r="AJ15" s="21"/>
    </row>
    <row r="16" spans="3:36" s="20" customFormat="1" x14ac:dyDescent="0.2">
      <c r="C16" s="32" t="s">
        <v>82</v>
      </c>
      <c r="D16" s="32"/>
      <c r="E16" s="33">
        <f t="shared" ref="E16:AD16" si="1">+E10+SUM(E12:E15)</f>
        <v>214.47100000000003</v>
      </c>
      <c r="F16" s="33">
        <f t="shared" si="1"/>
        <v>4.9609999999999985</v>
      </c>
      <c r="G16" s="33">
        <f t="shared" si="1"/>
        <v>4.1489999999999938</v>
      </c>
      <c r="H16" s="33">
        <f t="shared" si="1"/>
        <v>0.92399999999999238</v>
      </c>
      <c r="I16" s="33">
        <f t="shared" si="1"/>
        <v>5.5789999999999935</v>
      </c>
      <c r="J16" s="33">
        <f t="shared" si="1"/>
        <v>15.613</v>
      </c>
      <c r="K16" s="33">
        <f t="shared" si="1"/>
        <v>20.183000000000007</v>
      </c>
      <c r="L16" s="33">
        <f t="shared" si="1"/>
        <v>107.43600000000001</v>
      </c>
      <c r="M16" s="33">
        <f t="shared" si="1"/>
        <v>156.34500000000003</v>
      </c>
      <c r="N16" s="33">
        <f t="shared" si="1"/>
        <v>250.589</v>
      </c>
      <c r="O16" s="33">
        <f t="shared" si="1"/>
        <v>534.553</v>
      </c>
      <c r="P16" s="33">
        <f t="shared" si="1"/>
        <v>204.50499999999994</v>
      </c>
      <c r="Q16" s="33">
        <f t="shared" si="1"/>
        <v>201.16000000000003</v>
      </c>
      <c r="R16" s="33">
        <f t="shared" si="1"/>
        <v>147.745</v>
      </c>
      <c r="S16" s="33">
        <f t="shared" si="1"/>
        <v>155.69299999999998</v>
      </c>
      <c r="T16" s="33">
        <f t="shared" si="1"/>
        <v>709.10300000000007</v>
      </c>
      <c r="U16" s="33">
        <f t="shared" si="1"/>
        <v>156.92305999999999</v>
      </c>
      <c r="V16" s="33">
        <f t="shared" si="1"/>
        <v>202.94516900583557</v>
      </c>
      <c r="W16" s="33">
        <f t="shared" si="1"/>
        <v>142.19253051010196</v>
      </c>
      <c r="X16" s="33">
        <f t="shared" si="1"/>
        <v>241.75014810414717</v>
      </c>
      <c r="Y16" s="33">
        <f t="shared" si="1"/>
        <v>743.81090762008489</v>
      </c>
      <c r="Z16" s="33">
        <f t="shared" si="1"/>
        <v>289.49223445684947</v>
      </c>
      <c r="AA16" s="33">
        <f t="shared" si="1"/>
        <v>264.15463720684932</v>
      </c>
      <c r="AB16" s="33">
        <f t="shared" si="1"/>
        <v>248.2152911568493</v>
      </c>
      <c r="AC16" s="33">
        <f t="shared" si="1"/>
        <v>357.85489945684947</v>
      </c>
      <c r="AD16" s="33">
        <f t="shared" si="1"/>
        <v>1159.7170622773974</v>
      </c>
      <c r="AI16" s="21"/>
      <c r="AJ16" s="21"/>
    </row>
    <row r="17" spans="3:36" ht="5.0999999999999996" customHeight="1" x14ac:dyDescent="0.2">
      <c r="C17" s="18"/>
      <c r="D17" s="18"/>
      <c r="E17" s="35"/>
      <c r="F17" s="35"/>
      <c r="G17" s="35"/>
      <c r="H17" s="35"/>
      <c r="I17" s="35"/>
      <c r="J17" s="35"/>
      <c r="K17" s="35"/>
      <c r="L17" s="35"/>
      <c r="M17" s="35"/>
      <c r="N17" s="35"/>
      <c r="O17" s="35"/>
      <c r="P17" s="35"/>
      <c r="Q17" s="35"/>
      <c r="R17" s="35"/>
      <c r="S17" s="35"/>
    </row>
    <row r="18" spans="3:36" s="19" customFormat="1" x14ac:dyDescent="0.2">
      <c r="C18" s="19" t="s">
        <v>83</v>
      </c>
      <c r="E18" s="36">
        <v>-74.343000000000004</v>
      </c>
      <c r="F18" s="36">
        <v>-16.754000000000001</v>
      </c>
      <c r="G18" s="36">
        <v>-17.079000000000001</v>
      </c>
      <c r="H18" s="36">
        <v>-25.806000000000001</v>
      </c>
      <c r="I18" s="36">
        <v>-27.035</v>
      </c>
      <c r="J18" s="36">
        <v>-86.673999999999992</v>
      </c>
      <c r="K18" s="36">
        <v>-27</v>
      </c>
      <c r="L18" s="36">
        <v>-27.256</v>
      </c>
      <c r="M18" s="36">
        <v>-27.728000000000002</v>
      </c>
      <c r="N18" s="36">
        <v>-28.404</v>
      </c>
      <c r="O18" s="36">
        <v>-110.38800000000001</v>
      </c>
      <c r="P18" s="36">
        <v>-29.547999999999998</v>
      </c>
      <c r="Q18" s="36">
        <v>-32.445</v>
      </c>
      <c r="R18" s="36">
        <v>-33.363</v>
      </c>
      <c r="S18" s="36">
        <v>-33.682000000000002</v>
      </c>
      <c r="T18" s="34">
        <f t="shared" ref="T18:T27" si="2">+SUM(P18:S18)</f>
        <v>-129.03800000000001</v>
      </c>
      <c r="U18" s="40">
        <v>-36</v>
      </c>
      <c r="V18" s="40">
        <f>+($Y$18-$U$18)/3</f>
        <v>-35.833333333333336</v>
      </c>
      <c r="W18" s="40">
        <f>+($Y$18-$U$18)/3</f>
        <v>-35.833333333333336</v>
      </c>
      <c r="X18" s="40">
        <f>+($Y$18-$U$18)/3</f>
        <v>-35.833333333333336</v>
      </c>
      <c r="Y18" s="40">
        <v>-143.5</v>
      </c>
      <c r="Z18" s="40"/>
      <c r="AA18" s="40"/>
      <c r="AB18" s="40"/>
      <c r="AC18" s="40"/>
      <c r="AD18" s="40"/>
      <c r="AE18" s="22"/>
      <c r="AF18" s="22"/>
      <c r="AG18" s="22"/>
      <c r="AH18" s="22"/>
      <c r="AI18" s="23"/>
      <c r="AJ18" s="23"/>
    </row>
    <row r="19" spans="3:36" x14ac:dyDescent="0.2">
      <c r="C19" s="17" t="s">
        <v>209</v>
      </c>
      <c r="E19" s="34">
        <v>7.1000000000000008E-2</v>
      </c>
      <c r="F19" s="34">
        <v>-4.1000000000000002E-2</v>
      </c>
      <c r="G19" s="34">
        <v>-2E-3</v>
      </c>
      <c r="H19" s="34">
        <v>6.2E-2</v>
      </c>
      <c r="I19" s="34">
        <v>2E-3</v>
      </c>
      <c r="J19" s="34">
        <v>2.0999999999999998E-2</v>
      </c>
      <c r="K19" s="34">
        <v>-0.187</v>
      </c>
      <c r="L19" s="34">
        <v>0</v>
      </c>
      <c r="M19" s="34">
        <v>0</v>
      </c>
      <c r="N19" s="34">
        <v>0</v>
      </c>
      <c r="O19" s="34">
        <v>-0.187</v>
      </c>
      <c r="P19" s="34">
        <v>0</v>
      </c>
      <c r="Q19" s="34">
        <v>0</v>
      </c>
      <c r="R19" s="34">
        <v>0</v>
      </c>
      <c r="S19" s="34">
        <v>0</v>
      </c>
      <c r="T19" s="34">
        <f t="shared" si="2"/>
        <v>0</v>
      </c>
      <c r="U19" s="40">
        <v>0</v>
      </c>
      <c r="V19" s="40">
        <v>0</v>
      </c>
      <c r="W19" s="40">
        <v>0</v>
      </c>
      <c r="X19" s="40">
        <v>0</v>
      </c>
      <c r="Y19" s="40">
        <v>0</v>
      </c>
      <c r="Z19" s="40"/>
      <c r="AA19" s="40"/>
      <c r="AB19" s="40"/>
      <c r="AC19" s="40"/>
      <c r="AD19" s="40"/>
    </row>
    <row r="20" spans="3:36" x14ac:dyDescent="0.2">
      <c r="C20" s="17" t="s">
        <v>210</v>
      </c>
      <c r="E20" s="34">
        <v>-0.23200000000000001</v>
      </c>
      <c r="F20" s="34">
        <v>0</v>
      </c>
      <c r="G20" s="34">
        <v>0</v>
      </c>
      <c r="H20" s="34">
        <v>-2.5999999999999999E-2</v>
      </c>
      <c r="I20" s="34">
        <v>-8.4000000000000005E-2</v>
      </c>
      <c r="J20" s="34">
        <v>-0.11</v>
      </c>
      <c r="K20" s="34">
        <v>0</v>
      </c>
      <c r="L20" s="34">
        <v>-0.9</v>
      </c>
      <c r="M20" s="34">
        <v>-7.0999999999999994E-2</v>
      </c>
      <c r="N20" s="34">
        <v>0</v>
      </c>
      <c r="O20" s="34">
        <v>-0.97099999999999997</v>
      </c>
      <c r="P20" s="34">
        <v>-0.40699999999999997</v>
      </c>
      <c r="Q20" s="34">
        <v>-1.2999999999999999E-2</v>
      </c>
      <c r="R20" s="34">
        <v>-0.14799999999999999</v>
      </c>
      <c r="S20" s="34">
        <v>0</v>
      </c>
      <c r="T20" s="34">
        <f t="shared" si="2"/>
        <v>-0.56799999999999995</v>
      </c>
      <c r="U20" s="40">
        <v>0</v>
      </c>
      <c r="V20" s="40">
        <v>0</v>
      </c>
      <c r="W20" s="40">
        <v>0</v>
      </c>
      <c r="X20" s="40">
        <v>0</v>
      </c>
      <c r="Y20" s="40">
        <v>0</v>
      </c>
      <c r="Z20" s="40"/>
      <c r="AA20" s="40"/>
      <c r="AB20" s="40"/>
      <c r="AC20" s="40"/>
      <c r="AD20" s="40"/>
    </row>
    <row r="21" spans="3:36" x14ac:dyDescent="0.2">
      <c r="C21" s="17" t="s">
        <v>211</v>
      </c>
      <c r="E21" s="34">
        <v>0</v>
      </c>
      <c r="F21" s="34">
        <v>0</v>
      </c>
      <c r="G21" s="34">
        <v>-0.48099999999999998</v>
      </c>
      <c r="H21" s="34">
        <v>-47.079000000000001</v>
      </c>
      <c r="I21" s="34">
        <v>-3.18</v>
      </c>
      <c r="J21" s="34">
        <v>-50.74</v>
      </c>
      <c r="K21" s="34">
        <v>0</v>
      </c>
      <c r="L21" s="34">
        <v>0</v>
      </c>
      <c r="M21" s="34">
        <v>0</v>
      </c>
      <c r="N21" s="34">
        <v>0</v>
      </c>
      <c r="O21" s="34">
        <v>0</v>
      </c>
      <c r="P21" s="34">
        <v>0</v>
      </c>
      <c r="Q21" s="34">
        <v>0</v>
      </c>
      <c r="R21" s="34">
        <v>0</v>
      </c>
      <c r="S21" s="34">
        <v>0</v>
      </c>
      <c r="T21" s="34">
        <f t="shared" si="2"/>
        <v>0</v>
      </c>
      <c r="U21" s="40">
        <v>0</v>
      </c>
      <c r="V21" s="40">
        <v>0</v>
      </c>
      <c r="W21" s="40">
        <v>0</v>
      </c>
      <c r="X21" s="40">
        <v>0</v>
      </c>
      <c r="Y21" s="40">
        <v>0</v>
      </c>
      <c r="Z21" s="40"/>
      <c r="AA21" s="40"/>
      <c r="AB21" s="40"/>
      <c r="AC21" s="40"/>
      <c r="AD21" s="40"/>
    </row>
    <row r="22" spans="3:36" x14ac:dyDescent="0.2">
      <c r="C22" s="17" t="s">
        <v>212</v>
      </c>
      <c r="E22" s="34">
        <v>-100.087</v>
      </c>
      <c r="F22" s="34">
        <v>-1.0999999999999999E-2</v>
      </c>
      <c r="G22" s="34">
        <v>-4.0049999999999999</v>
      </c>
      <c r="H22" s="34">
        <v>9.1039999999999992</v>
      </c>
      <c r="I22" s="34">
        <v>4.665</v>
      </c>
      <c r="J22" s="34">
        <v>9.7530000000000001</v>
      </c>
      <c r="K22" s="34">
        <v>1.3759999999999999</v>
      </c>
      <c r="L22" s="34">
        <v>8.1020000000000003</v>
      </c>
      <c r="M22" s="34">
        <v>-0.13900000000000001</v>
      </c>
      <c r="N22" s="34">
        <v>10.308</v>
      </c>
      <c r="O22" s="34">
        <v>19.646999999999998</v>
      </c>
      <c r="P22" s="34">
        <v>10.747999999999999</v>
      </c>
      <c r="Q22" s="34">
        <v>-2.5999999999999999E-2</v>
      </c>
      <c r="R22" s="34">
        <v>-7.3999999999999996E-2</v>
      </c>
      <c r="S22" s="34">
        <v>25.286000000000001</v>
      </c>
      <c r="T22" s="34">
        <f t="shared" si="2"/>
        <v>35.933999999999997</v>
      </c>
      <c r="U22" s="40">
        <v>0</v>
      </c>
      <c r="V22" s="40">
        <v>0</v>
      </c>
      <c r="W22" s="40">
        <v>0</v>
      </c>
      <c r="X22" s="40">
        <v>0</v>
      </c>
      <c r="Y22" s="40">
        <v>0</v>
      </c>
      <c r="Z22" s="40"/>
      <c r="AA22" s="40"/>
      <c r="AB22" s="40"/>
      <c r="AC22" s="40"/>
      <c r="AD22" s="40"/>
    </row>
    <row r="23" spans="3:36" x14ac:dyDescent="0.2">
      <c r="C23" s="17" t="s">
        <v>213</v>
      </c>
      <c r="E23" s="34">
        <v>4.118999999999998</v>
      </c>
      <c r="F23" s="34">
        <v>5.468</v>
      </c>
      <c r="G23" s="34">
        <v>5.375</v>
      </c>
      <c r="H23" s="34">
        <v>5.73</v>
      </c>
      <c r="I23" s="34">
        <v>5.2649999999999997</v>
      </c>
      <c r="J23" s="34">
        <v>21.838000000000001</v>
      </c>
      <c r="K23" s="34">
        <v>5.5970000000000004</v>
      </c>
      <c r="L23" s="34">
        <v>-5.1619999999999999</v>
      </c>
      <c r="M23" s="34">
        <v>-1E-3</v>
      </c>
      <c r="N23" s="34">
        <v>0.28000000000000003</v>
      </c>
      <c r="O23" s="34">
        <v>0.71400000000000052</v>
      </c>
      <c r="P23" s="34">
        <v>0</v>
      </c>
      <c r="Q23" s="34">
        <v>0</v>
      </c>
      <c r="R23" s="34">
        <v>0</v>
      </c>
      <c r="S23" s="34">
        <v>0</v>
      </c>
      <c r="T23" s="34">
        <f t="shared" si="2"/>
        <v>0</v>
      </c>
      <c r="U23" s="40">
        <v>0</v>
      </c>
      <c r="V23" s="40">
        <v>0</v>
      </c>
      <c r="W23" s="40">
        <v>0</v>
      </c>
      <c r="X23" s="40">
        <v>0</v>
      </c>
      <c r="Y23" s="40">
        <v>0</v>
      </c>
      <c r="Z23" s="40"/>
      <c r="AA23" s="40"/>
      <c r="AB23" s="40"/>
      <c r="AC23" s="40"/>
      <c r="AD23" s="40"/>
    </row>
    <row r="24" spans="3:36" x14ac:dyDescent="0.2">
      <c r="C24" s="17" t="s">
        <v>214</v>
      </c>
      <c r="E24" s="34">
        <v>-12.817</v>
      </c>
      <c r="F24" s="34">
        <v>0.29199999999999998</v>
      </c>
      <c r="G24" s="34">
        <v>0.26700000000000002</v>
      </c>
      <c r="H24" s="34">
        <v>-0.113</v>
      </c>
      <c r="I24" s="34">
        <v>-6.3929999999999998</v>
      </c>
      <c r="J24" s="34">
        <v>-5.9470000000000001</v>
      </c>
      <c r="K24" s="34">
        <v>-0.22600000000000001</v>
      </c>
      <c r="L24" s="34">
        <v>-0.57399999999999995</v>
      </c>
      <c r="M24" s="34">
        <v>0.36</v>
      </c>
      <c r="N24" s="34">
        <v>2.7719999999999998</v>
      </c>
      <c r="O24" s="34">
        <v>2.3319999999999999</v>
      </c>
      <c r="P24" s="34">
        <v>4.2809999999999997</v>
      </c>
      <c r="Q24" s="34">
        <v>3.3809999999999998</v>
      </c>
      <c r="R24" s="34">
        <v>0.64600000000000002</v>
      </c>
      <c r="S24" s="34">
        <v>2.3439999999999999</v>
      </c>
      <c r="T24" s="34">
        <f t="shared" si="2"/>
        <v>10.651999999999999</v>
      </c>
      <c r="U24" s="40">
        <v>0</v>
      </c>
      <c r="V24" s="40">
        <v>0</v>
      </c>
      <c r="W24" s="40">
        <v>0</v>
      </c>
      <c r="X24" s="40">
        <v>0</v>
      </c>
      <c r="Y24" s="40">
        <v>0</v>
      </c>
      <c r="Z24" s="40"/>
      <c r="AA24" s="40"/>
      <c r="AB24" s="40"/>
      <c r="AC24" s="40"/>
      <c r="AD24" s="40"/>
    </row>
    <row r="25" spans="3:36" x14ac:dyDescent="0.2">
      <c r="C25" s="17" t="s">
        <v>215</v>
      </c>
      <c r="E25" s="34">
        <v>-36.712000000000003</v>
      </c>
      <c r="F25" s="34">
        <v>-7.28</v>
      </c>
      <c r="G25" s="34">
        <v>-7.0060000000000002</v>
      </c>
      <c r="H25" s="34">
        <v>-10.638999999999999</v>
      </c>
      <c r="I25" s="34">
        <v>-11.871</v>
      </c>
      <c r="J25" s="34">
        <v>-36.795999999999999</v>
      </c>
      <c r="K25" s="34">
        <v>-12.74</v>
      </c>
      <c r="L25" s="34">
        <v>-12.558</v>
      </c>
      <c r="M25" s="34">
        <v>-15.332000000000001</v>
      </c>
      <c r="N25" s="34">
        <v>-17.091000000000001</v>
      </c>
      <c r="O25" s="34">
        <v>-57.721000000000004</v>
      </c>
      <c r="P25" s="34">
        <v>-16.946999999999999</v>
      </c>
      <c r="Q25" s="34">
        <v>-17.914000000000001</v>
      </c>
      <c r="R25" s="34">
        <v>-16.817</v>
      </c>
      <c r="S25" s="34">
        <v>-14.081</v>
      </c>
      <c r="T25" s="34">
        <f t="shared" si="2"/>
        <v>-65.759</v>
      </c>
      <c r="U25" s="40">
        <v>-11</v>
      </c>
      <c r="V25" s="40">
        <f>+($Y$25-$U$25)/3</f>
        <v>-10.833333333333334</v>
      </c>
      <c r="W25" s="40">
        <f>+($Y$25-$U$25)/3</f>
        <v>-10.833333333333334</v>
      </c>
      <c r="X25" s="40">
        <f>+($Y$25-$U$25)/3</f>
        <v>-10.833333333333334</v>
      </c>
      <c r="Y25" s="40">
        <v>-43.5</v>
      </c>
      <c r="Z25" s="40"/>
      <c r="AA25" s="40"/>
      <c r="AB25" s="40"/>
      <c r="AC25" s="40"/>
      <c r="AD25" s="40"/>
    </row>
    <row r="26" spans="3:36" x14ac:dyDescent="0.2">
      <c r="C26" s="17" t="s">
        <v>91</v>
      </c>
      <c r="E26" s="34">
        <v>-1E-3</v>
      </c>
      <c r="F26" s="34">
        <v>0</v>
      </c>
      <c r="G26" s="34">
        <v>-1E-3</v>
      </c>
      <c r="H26" s="34">
        <v>-3.5000000000000003E-2</v>
      </c>
      <c r="I26" s="34">
        <v>-1.5820000000000001</v>
      </c>
      <c r="J26" s="34">
        <v>-1.6180000000000001</v>
      </c>
      <c r="K26" s="34">
        <v>-4.0000000000000001E-3</v>
      </c>
      <c r="L26" s="34">
        <v>-5.1999999999999998E-2</v>
      </c>
      <c r="M26" s="34">
        <v>-7.0000000000000001E-3</v>
      </c>
      <c r="N26" s="34">
        <v>-2.5000000000000001E-2</v>
      </c>
      <c r="O26" s="34">
        <v>-8.7999999999999995E-2</v>
      </c>
      <c r="P26" s="34">
        <v>1E-3</v>
      </c>
      <c r="Q26" s="34">
        <v>-0.38100000000000001</v>
      </c>
      <c r="R26" s="34">
        <v>-5.1999999999999998E-2</v>
      </c>
      <c r="S26" s="34">
        <v>-3.4460000000000002</v>
      </c>
      <c r="T26" s="34">
        <f t="shared" si="2"/>
        <v>-3.8780000000000001</v>
      </c>
      <c r="U26" s="40">
        <v>0</v>
      </c>
      <c r="V26" s="40">
        <v>0</v>
      </c>
      <c r="W26" s="40">
        <v>0</v>
      </c>
      <c r="X26" s="40">
        <v>0</v>
      </c>
      <c r="Y26" s="40">
        <v>0</v>
      </c>
      <c r="Z26" s="40"/>
      <c r="AA26" s="40"/>
      <c r="AB26" s="40"/>
      <c r="AC26" s="40"/>
      <c r="AD26" s="40"/>
    </row>
    <row r="27" spans="3:36" x14ac:dyDescent="0.2">
      <c r="C27" s="17" t="s">
        <v>216</v>
      </c>
      <c r="E27" s="34">
        <v>0</v>
      </c>
      <c r="F27" s="34">
        <v>0</v>
      </c>
      <c r="G27" s="34">
        <v>0</v>
      </c>
      <c r="H27" s="34">
        <v>0.52600000000000002</v>
      </c>
      <c r="I27" s="34">
        <v>0.64200000000000002</v>
      </c>
      <c r="J27" s="34">
        <v>1.1680000000000001</v>
      </c>
      <c r="K27" s="34">
        <v>0</v>
      </c>
      <c r="L27" s="34">
        <v>0</v>
      </c>
      <c r="M27" s="34">
        <v>0</v>
      </c>
      <c r="N27" s="34">
        <v>0</v>
      </c>
      <c r="O27" s="34">
        <v>0</v>
      </c>
      <c r="P27" s="34">
        <v>0</v>
      </c>
      <c r="Q27" s="34">
        <v>0</v>
      </c>
      <c r="R27" s="34">
        <v>0</v>
      </c>
      <c r="S27" s="34">
        <v>0</v>
      </c>
      <c r="T27" s="34">
        <f t="shared" si="2"/>
        <v>0</v>
      </c>
      <c r="U27" s="40">
        <v>0</v>
      </c>
      <c r="V27" s="40">
        <v>0</v>
      </c>
      <c r="W27" s="40">
        <v>0</v>
      </c>
      <c r="X27" s="40">
        <v>0</v>
      </c>
      <c r="Y27" s="40">
        <v>0</v>
      </c>
      <c r="Z27" s="40"/>
      <c r="AA27" s="40"/>
      <c r="AB27" s="40"/>
      <c r="AC27" s="40"/>
      <c r="AD27" s="40"/>
    </row>
    <row r="28" spans="3:36" x14ac:dyDescent="0.2">
      <c r="C28" s="32" t="s">
        <v>92</v>
      </c>
      <c r="D28" s="32"/>
      <c r="E28" s="33">
        <f>+SUM(E16,E18:E27)</f>
        <v>-5.5309999999999659</v>
      </c>
      <c r="F28" s="33">
        <f t="shared" ref="F28:AD28" si="3">+SUM(F16,F18:F27)</f>
        <v>-13.365000000000002</v>
      </c>
      <c r="G28" s="33">
        <f t="shared" si="3"/>
        <v>-18.783000000000008</v>
      </c>
      <c r="H28" s="33">
        <f t="shared" si="3"/>
        <v>-67.352000000000004</v>
      </c>
      <c r="I28" s="33">
        <f t="shared" si="3"/>
        <v>-33.992000000000004</v>
      </c>
      <c r="J28" s="33">
        <f t="shared" si="3"/>
        <v>-133.49199999999996</v>
      </c>
      <c r="K28" s="33">
        <f t="shared" si="3"/>
        <v>-13.000999999999992</v>
      </c>
      <c r="L28" s="33">
        <f t="shared" si="3"/>
        <v>69.035999999999987</v>
      </c>
      <c r="M28" s="33">
        <f t="shared" si="3"/>
        <v>113.42700000000002</v>
      </c>
      <c r="N28" s="33">
        <f t="shared" si="3"/>
        <v>218.42899999999997</v>
      </c>
      <c r="O28" s="33">
        <f t="shared" si="3"/>
        <v>387.89099999999991</v>
      </c>
      <c r="P28" s="33">
        <f t="shared" si="3"/>
        <v>172.63299999999992</v>
      </c>
      <c r="Q28" s="33">
        <f t="shared" si="3"/>
        <v>153.76200000000003</v>
      </c>
      <c r="R28" s="33">
        <f t="shared" si="3"/>
        <v>97.936999999999998</v>
      </c>
      <c r="S28" s="33">
        <f t="shared" si="3"/>
        <v>132.11399999999998</v>
      </c>
      <c r="T28" s="33">
        <f t="shared" si="3"/>
        <v>556.44600000000003</v>
      </c>
      <c r="U28" s="33">
        <f t="shared" si="3"/>
        <v>109.92305999999999</v>
      </c>
      <c r="V28" s="33">
        <f t="shared" si="3"/>
        <v>156.27850233916888</v>
      </c>
      <c r="W28" s="33">
        <f t="shared" si="3"/>
        <v>95.525863843435289</v>
      </c>
      <c r="X28" s="33">
        <f t="shared" si="3"/>
        <v>195.08348143748049</v>
      </c>
      <c r="Y28" s="33">
        <f t="shared" si="3"/>
        <v>556.81090762008489</v>
      </c>
      <c r="Z28" s="33">
        <f t="shared" si="3"/>
        <v>289.49223445684947</v>
      </c>
      <c r="AA28" s="33">
        <f t="shared" si="3"/>
        <v>264.15463720684932</v>
      </c>
      <c r="AB28" s="33">
        <f t="shared" si="3"/>
        <v>248.2152911568493</v>
      </c>
      <c r="AC28" s="33">
        <f t="shared" si="3"/>
        <v>357.85489945684947</v>
      </c>
      <c r="AD28" s="33">
        <f t="shared" si="3"/>
        <v>1159.7170622773974</v>
      </c>
    </row>
    <row r="29" spans="3:36" ht="5.0999999999999996" customHeight="1" x14ac:dyDescent="0.2">
      <c r="E29" s="37"/>
      <c r="F29" s="37"/>
      <c r="G29" s="37"/>
      <c r="H29" s="37"/>
      <c r="I29" s="37"/>
      <c r="J29" s="37"/>
      <c r="K29" s="37"/>
      <c r="L29" s="37"/>
      <c r="M29" s="37"/>
      <c r="N29" s="37"/>
      <c r="O29" s="37"/>
      <c r="P29" s="37"/>
      <c r="Q29" s="37"/>
      <c r="R29" s="37"/>
    </row>
    <row r="30" spans="3:36" x14ac:dyDescent="0.2">
      <c r="C30" s="17" t="s">
        <v>83</v>
      </c>
      <c r="E30" s="36">
        <v>74.343000000000004</v>
      </c>
      <c r="F30" s="36">
        <v>16.754000000000001</v>
      </c>
      <c r="G30" s="36">
        <v>17.079000000000001</v>
      </c>
      <c r="H30" s="36">
        <v>25.806000000000001</v>
      </c>
      <c r="I30" s="36">
        <v>27.035</v>
      </c>
      <c r="J30" s="36">
        <v>86.673999999999992</v>
      </c>
      <c r="K30" s="36">
        <v>27</v>
      </c>
      <c r="L30" s="36">
        <v>27.256</v>
      </c>
      <c r="M30" s="36">
        <v>27.728000000000002</v>
      </c>
      <c r="N30" s="36">
        <v>28.404</v>
      </c>
      <c r="O30" s="36">
        <v>110.38800000000001</v>
      </c>
      <c r="P30" s="36">
        <v>29.547999999999998</v>
      </c>
      <c r="Q30" s="36">
        <v>32.445</v>
      </c>
      <c r="R30" s="36">
        <v>33.363</v>
      </c>
      <c r="S30" s="34">
        <f>129.038-R30-Q30-P30</f>
        <v>33.682000000000016</v>
      </c>
      <c r="T30" s="34">
        <f>+S30+R30+Q30+P30</f>
        <v>129.03800000000001</v>
      </c>
      <c r="U30" s="40">
        <f>-U18</f>
        <v>36</v>
      </c>
      <c r="V30" s="40">
        <f>-V18</f>
        <v>35.833333333333336</v>
      </c>
      <c r="W30" s="40">
        <f>-W18</f>
        <v>35.833333333333336</v>
      </c>
      <c r="X30" s="40">
        <f>-X18</f>
        <v>35.833333333333336</v>
      </c>
      <c r="Y30" s="40">
        <f>-Y18</f>
        <v>143.5</v>
      </c>
      <c r="Z30" s="40"/>
      <c r="AA30" s="40"/>
      <c r="AB30" s="40"/>
      <c r="AC30" s="40"/>
      <c r="AD30" s="40"/>
    </row>
    <row r="31" spans="3:36" ht="12.95" customHeight="1" x14ac:dyDescent="0.2">
      <c r="C31" s="17" t="s">
        <v>217</v>
      </c>
      <c r="E31" s="36">
        <v>103.02200000000001</v>
      </c>
      <c r="F31" s="36">
        <v>0</v>
      </c>
      <c r="G31" s="36">
        <v>3.4969999999999999</v>
      </c>
      <c r="H31" s="36">
        <v>0</v>
      </c>
      <c r="I31" s="36">
        <v>0</v>
      </c>
      <c r="J31" s="36">
        <v>3.4969999999999999</v>
      </c>
      <c r="K31" s="36">
        <v>1.6970000000000001</v>
      </c>
      <c r="L31" s="36">
        <v>0</v>
      </c>
      <c r="M31" s="36">
        <v>0</v>
      </c>
      <c r="N31" s="36">
        <v>0</v>
      </c>
      <c r="O31" s="36">
        <v>1.6970000000000001</v>
      </c>
      <c r="P31" s="36">
        <v>0</v>
      </c>
      <c r="Q31" s="36">
        <v>0</v>
      </c>
      <c r="R31" s="36">
        <v>0</v>
      </c>
      <c r="S31" s="34"/>
      <c r="T31" s="34">
        <f t="shared" ref="T31:T47" si="4">+S31+R31+Q31+P31</f>
        <v>0</v>
      </c>
      <c r="U31" s="40">
        <v>0</v>
      </c>
      <c r="V31" s="40">
        <v>0</v>
      </c>
      <c r="W31" s="40">
        <v>0</v>
      </c>
      <c r="X31" s="40">
        <v>0</v>
      </c>
      <c r="Y31" s="40">
        <f>+SUM(U31:X31)</f>
        <v>0</v>
      </c>
      <c r="Z31" s="40"/>
      <c r="AA31" s="40"/>
      <c r="AB31" s="40"/>
      <c r="AC31" s="40"/>
      <c r="AD31" s="40"/>
    </row>
    <row r="32" spans="3:36" x14ac:dyDescent="0.2">
      <c r="C32" s="17" t="s">
        <v>218</v>
      </c>
      <c r="E32" s="36">
        <v>2.8980000000000001</v>
      </c>
      <c r="F32" s="36">
        <v>0.54</v>
      </c>
      <c r="G32" s="36">
        <v>0.53699999999999992</v>
      </c>
      <c r="H32" s="36">
        <v>0.53200000000000003</v>
      </c>
      <c r="I32" s="36">
        <v>0.70400000000000018</v>
      </c>
      <c r="J32" s="36">
        <v>2.3130000000000002</v>
      </c>
      <c r="K32" s="36">
        <v>0.85499999999999998</v>
      </c>
      <c r="L32" s="36">
        <v>1.1000000000000001</v>
      </c>
      <c r="M32" s="36">
        <v>1.6749999999999998</v>
      </c>
      <c r="N32" s="36">
        <v>1.5940000000000003</v>
      </c>
      <c r="O32" s="36">
        <v>5.2240000000000002</v>
      </c>
      <c r="P32" s="36">
        <v>1.556</v>
      </c>
      <c r="Q32" s="36">
        <v>1.5720000000000001</v>
      </c>
      <c r="R32" s="36">
        <v>1.3629999999999995</v>
      </c>
      <c r="S32" s="34">
        <f>5.623-R32-Q32-P32</f>
        <v>1.1320000000000006</v>
      </c>
      <c r="T32" s="34">
        <f t="shared" si="4"/>
        <v>5.6230000000000002</v>
      </c>
      <c r="U32" s="40">
        <v>0</v>
      </c>
      <c r="V32" s="40">
        <v>0</v>
      </c>
      <c r="W32" s="40">
        <v>0</v>
      </c>
      <c r="X32" s="40">
        <v>0</v>
      </c>
      <c r="Y32" s="40">
        <f t="shared" ref="Y32:Y47" si="5">+SUM(U32:X32)</f>
        <v>0</v>
      </c>
      <c r="Z32" s="40"/>
      <c r="AA32" s="40"/>
      <c r="AB32" s="40"/>
      <c r="AC32" s="40"/>
      <c r="AD32" s="40"/>
    </row>
    <row r="33" spans="3:36" x14ac:dyDescent="0.2">
      <c r="C33" s="17" t="s">
        <v>219</v>
      </c>
      <c r="E33" s="36">
        <v>0</v>
      </c>
      <c r="F33" s="36">
        <v>0</v>
      </c>
      <c r="G33" s="36">
        <v>0</v>
      </c>
      <c r="H33" s="36">
        <v>1.7430000000000001</v>
      </c>
      <c r="I33" s="36">
        <v>0.68499999999999983</v>
      </c>
      <c r="J33" s="36">
        <v>2.4279999999999999</v>
      </c>
      <c r="K33" s="36">
        <v>0.34</v>
      </c>
      <c r="L33" s="36">
        <v>0.34400000000000003</v>
      </c>
      <c r="M33" s="36">
        <v>0.15799999999999992</v>
      </c>
      <c r="N33" s="36">
        <v>0</v>
      </c>
      <c r="O33" s="36">
        <v>0.84199999999999997</v>
      </c>
      <c r="P33" s="36">
        <v>0</v>
      </c>
      <c r="Q33" s="36">
        <v>0</v>
      </c>
      <c r="R33" s="36">
        <v>0</v>
      </c>
      <c r="S33" s="34"/>
      <c r="T33" s="34">
        <f t="shared" si="4"/>
        <v>0</v>
      </c>
      <c r="U33" s="40">
        <v>0</v>
      </c>
      <c r="V33" s="40">
        <v>0</v>
      </c>
      <c r="W33" s="40">
        <v>0</v>
      </c>
      <c r="X33" s="40">
        <v>0</v>
      </c>
      <c r="Y33" s="40">
        <f t="shared" si="5"/>
        <v>0</v>
      </c>
      <c r="Z33" s="40"/>
      <c r="AA33" s="40"/>
      <c r="AB33" s="40"/>
      <c r="AC33" s="40"/>
      <c r="AD33" s="40"/>
    </row>
    <row r="34" spans="3:36" s="20" customFormat="1" x14ac:dyDescent="0.2">
      <c r="C34" s="17" t="s">
        <v>220</v>
      </c>
      <c r="D34" s="17"/>
      <c r="E34" s="36">
        <v>13.073</v>
      </c>
      <c r="F34" s="36">
        <v>0</v>
      </c>
      <c r="G34" s="36">
        <v>0</v>
      </c>
      <c r="H34" s="36">
        <v>0</v>
      </c>
      <c r="I34" s="36">
        <v>2.113</v>
      </c>
      <c r="J34" s="36">
        <v>2.113</v>
      </c>
      <c r="K34" s="36">
        <v>0.13300000000000001</v>
      </c>
      <c r="L34" s="36">
        <v>0.128</v>
      </c>
      <c r="M34" s="36">
        <v>0.34899999999999998</v>
      </c>
      <c r="N34" s="36">
        <v>0.65600000000000003</v>
      </c>
      <c r="O34" s="36">
        <v>1.266</v>
      </c>
      <c r="P34" s="36">
        <v>0.16600000000000001</v>
      </c>
      <c r="Q34" s="36">
        <v>0.55499999999999994</v>
      </c>
      <c r="R34" s="36">
        <v>1.2310000000000001</v>
      </c>
      <c r="S34" s="34">
        <f>2.686-R34-Q34-P34</f>
        <v>0.73399999999999987</v>
      </c>
      <c r="T34" s="34">
        <f t="shared" si="4"/>
        <v>2.6859999999999995</v>
      </c>
      <c r="U34" s="40">
        <v>0</v>
      </c>
      <c r="V34" s="40">
        <v>0</v>
      </c>
      <c r="W34" s="40">
        <v>0</v>
      </c>
      <c r="X34" s="40">
        <v>0</v>
      </c>
      <c r="Y34" s="40">
        <f t="shared" si="5"/>
        <v>0</v>
      </c>
      <c r="Z34" s="40"/>
      <c r="AA34" s="40"/>
      <c r="AB34" s="40"/>
      <c r="AC34" s="40"/>
      <c r="AD34" s="40"/>
      <c r="AI34" s="21"/>
      <c r="AJ34" s="21"/>
    </row>
    <row r="35" spans="3:36" s="20" customFormat="1" x14ac:dyDescent="0.2">
      <c r="C35" s="17" t="s">
        <v>221</v>
      </c>
      <c r="D35" s="17"/>
      <c r="E35" s="36">
        <v>5.6310000000000002</v>
      </c>
      <c r="F35" s="36">
        <v>1.0369999999999999</v>
      </c>
      <c r="G35" s="36">
        <v>1.226</v>
      </c>
      <c r="H35" s="36">
        <v>6.6310000000000002</v>
      </c>
      <c r="I35" s="36">
        <v>1.6349999999999998</v>
      </c>
      <c r="J35" s="36">
        <v>10.529</v>
      </c>
      <c r="K35" s="36">
        <v>1.1080000000000001</v>
      </c>
      <c r="L35" s="36">
        <v>1.62</v>
      </c>
      <c r="M35" s="36">
        <v>1.7189999999999999</v>
      </c>
      <c r="N35" s="36">
        <v>2.2990000000000008</v>
      </c>
      <c r="O35" s="36">
        <v>6.7460000000000004</v>
      </c>
      <c r="P35" s="36">
        <v>1.9</v>
      </c>
      <c r="Q35" s="36">
        <v>1.9730000000000003</v>
      </c>
      <c r="R35" s="36">
        <v>2.0389999999999997</v>
      </c>
      <c r="S35" s="34">
        <f>8.518-R35-Q35-P35</f>
        <v>2.6060000000000003</v>
      </c>
      <c r="T35" s="34">
        <f t="shared" si="4"/>
        <v>8.5180000000000007</v>
      </c>
      <c r="U35" s="40">
        <v>0</v>
      </c>
      <c r="V35" s="40">
        <v>0</v>
      </c>
      <c r="W35" s="40">
        <v>0</v>
      </c>
      <c r="X35" s="40">
        <v>0</v>
      </c>
      <c r="Y35" s="40">
        <f t="shared" si="5"/>
        <v>0</v>
      </c>
      <c r="Z35" s="40"/>
      <c r="AA35" s="40"/>
      <c r="AB35" s="40"/>
      <c r="AC35" s="40"/>
      <c r="AD35" s="40"/>
      <c r="AI35" s="21"/>
      <c r="AJ35" s="21"/>
    </row>
    <row r="36" spans="3:36" s="20" customFormat="1" x14ac:dyDescent="0.2">
      <c r="C36" s="17" t="s">
        <v>222</v>
      </c>
      <c r="D36" s="17"/>
      <c r="E36" s="36">
        <v>-4.0129999999999999</v>
      </c>
      <c r="F36" s="36">
        <v>-5.468</v>
      </c>
      <c r="G36" s="36">
        <v>-5.375</v>
      </c>
      <c r="H36" s="36">
        <v>-5.73</v>
      </c>
      <c r="I36" s="36">
        <v>-5.2650000000000006</v>
      </c>
      <c r="J36" s="36">
        <v>-21.838000000000001</v>
      </c>
      <c r="K36" s="36">
        <v>-5.5970000000000004</v>
      </c>
      <c r="L36" s="36">
        <v>-4.419999999999999</v>
      </c>
      <c r="M36" s="36">
        <v>0</v>
      </c>
      <c r="N36" s="36">
        <v>-0.28000000000000114</v>
      </c>
      <c r="O36" s="36">
        <v>-10.297000000000001</v>
      </c>
      <c r="P36" s="36">
        <v>0.02</v>
      </c>
      <c r="Q36" s="36">
        <v>0</v>
      </c>
      <c r="R36" s="36">
        <v>0</v>
      </c>
      <c r="S36" s="34">
        <f>0.02-R36-Q36-P36</f>
        <v>0</v>
      </c>
      <c r="T36" s="34">
        <f t="shared" si="4"/>
        <v>0.02</v>
      </c>
      <c r="U36" s="40">
        <v>0</v>
      </c>
      <c r="V36" s="40">
        <v>0</v>
      </c>
      <c r="W36" s="40">
        <v>0</v>
      </c>
      <c r="X36" s="40">
        <v>0</v>
      </c>
      <c r="Y36" s="40">
        <f t="shared" si="5"/>
        <v>0</v>
      </c>
      <c r="Z36" s="40"/>
      <c r="AA36" s="40"/>
      <c r="AB36" s="40"/>
      <c r="AC36" s="40"/>
      <c r="AD36" s="40"/>
      <c r="AI36" s="21"/>
      <c r="AJ36" s="21"/>
    </row>
    <row r="37" spans="3:36" s="20" customFormat="1" x14ac:dyDescent="0.2">
      <c r="C37" s="17" t="s">
        <v>223</v>
      </c>
      <c r="D37" s="17"/>
      <c r="E37" s="36">
        <v>0</v>
      </c>
      <c r="F37" s="36">
        <v>0</v>
      </c>
      <c r="G37" s="36">
        <v>0</v>
      </c>
      <c r="H37" s="36">
        <v>31.053000000000001</v>
      </c>
      <c r="I37" s="36">
        <v>0</v>
      </c>
      <c r="J37" s="36">
        <v>31.053000000000001</v>
      </c>
      <c r="K37" s="36">
        <v>0</v>
      </c>
      <c r="L37" s="36">
        <v>0</v>
      </c>
      <c r="M37" s="36">
        <v>0</v>
      </c>
      <c r="N37" s="36">
        <v>0</v>
      </c>
      <c r="O37" s="36">
        <v>0</v>
      </c>
      <c r="P37" s="36">
        <v>0</v>
      </c>
      <c r="Q37" s="36">
        <v>0</v>
      </c>
      <c r="R37" s="36">
        <v>0</v>
      </c>
      <c r="S37" s="34"/>
      <c r="T37" s="34">
        <f t="shared" si="4"/>
        <v>0</v>
      </c>
      <c r="U37" s="40">
        <v>0</v>
      </c>
      <c r="V37" s="40">
        <v>0</v>
      </c>
      <c r="W37" s="40">
        <v>0</v>
      </c>
      <c r="X37" s="40">
        <v>0</v>
      </c>
      <c r="Y37" s="40">
        <f t="shared" si="5"/>
        <v>0</v>
      </c>
      <c r="Z37" s="40"/>
      <c r="AA37" s="40"/>
      <c r="AB37" s="40"/>
      <c r="AC37" s="40"/>
      <c r="AD37" s="40"/>
      <c r="AI37" s="21"/>
      <c r="AJ37" s="21"/>
    </row>
    <row r="38" spans="3:36" s="20" customFormat="1" x14ac:dyDescent="0.2">
      <c r="C38" s="17" t="s">
        <v>224</v>
      </c>
      <c r="D38" s="17"/>
      <c r="E38" s="36">
        <v>1.2709999999999999</v>
      </c>
      <c r="F38" s="36">
        <v>0</v>
      </c>
      <c r="G38" s="36">
        <v>0</v>
      </c>
      <c r="H38" s="36">
        <v>0</v>
      </c>
      <c r="I38" s="36">
        <v>0</v>
      </c>
      <c r="J38" s="36">
        <v>0</v>
      </c>
      <c r="K38" s="36">
        <v>0</v>
      </c>
      <c r="L38" s="36">
        <v>0</v>
      </c>
      <c r="M38" s="36">
        <v>0</v>
      </c>
      <c r="N38" s="36">
        <v>0</v>
      </c>
      <c r="O38" s="36">
        <v>0</v>
      </c>
      <c r="P38" s="36">
        <v>0</v>
      </c>
      <c r="Q38" s="36">
        <v>0</v>
      </c>
      <c r="R38" s="36">
        <v>0</v>
      </c>
      <c r="S38" s="34"/>
      <c r="T38" s="34">
        <f t="shared" si="4"/>
        <v>0</v>
      </c>
      <c r="U38" s="40">
        <v>0</v>
      </c>
      <c r="V38" s="40">
        <v>0</v>
      </c>
      <c r="W38" s="40">
        <v>0</v>
      </c>
      <c r="X38" s="40">
        <v>0</v>
      </c>
      <c r="Y38" s="40">
        <f t="shared" si="5"/>
        <v>0</v>
      </c>
      <c r="Z38" s="40"/>
      <c r="AA38" s="40"/>
      <c r="AB38" s="40"/>
      <c r="AC38" s="40"/>
      <c r="AD38" s="40"/>
      <c r="AI38" s="21"/>
      <c r="AJ38" s="21"/>
    </row>
    <row r="39" spans="3:36" s="20" customFormat="1" x14ac:dyDescent="0.2">
      <c r="C39" s="17" t="s">
        <v>225</v>
      </c>
      <c r="D39" s="17"/>
      <c r="E39" s="36">
        <v>0</v>
      </c>
      <c r="F39" s="36">
        <v>0.69399999999999995</v>
      </c>
      <c r="G39" s="36">
        <v>0</v>
      </c>
      <c r="H39" s="36">
        <v>0</v>
      </c>
      <c r="I39" s="36">
        <v>-0.69399999999999995</v>
      </c>
      <c r="J39" s="36">
        <v>0</v>
      </c>
      <c r="K39" s="36">
        <v>0</v>
      </c>
      <c r="L39" s="36">
        <v>0</v>
      </c>
      <c r="M39" s="36">
        <v>0</v>
      </c>
      <c r="N39" s="36">
        <v>0</v>
      </c>
      <c r="O39" s="36">
        <v>0</v>
      </c>
      <c r="P39" s="36">
        <v>0</v>
      </c>
      <c r="Q39" s="36">
        <v>0</v>
      </c>
      <c r="R39" s="36">
        <v>0</v>
      </c>
      <c r="S39" s="34"/>
      <c r="T39" s="34">
        <f t="shared" si="4"/>
        <v>0</v>
      </c>
      <c r="U39" s="40">
        <v>0</v>
      </c>
      <c r="V39" s="40">
        <v>0</v>
      </c>
      <c r="W39" s="40">
        <v>0</v>
      </c>
      <c r="X39" s="40">
        <v>0</v>
      </c>
      <c r="Y39" s="40">
        <f t="shared" si="5"/>
        <v>0</v>
      </c>
      <c r="Z39" s="40"/>
      <c r="AA39" s="40"/>
      <c r="AB39" s="40"/>
      <c r="AC39" s="40"/>
      <c r="AD39" s="40"/>
      <c r="AI39" s="21"/>
      <c r="AJ39" s="21"/>
    </row>
    <row r="40" spans="3:36" s="20" customFormat="1" x14ac:dyDescent="0.2">
      <c r="C40" s="17" t="s">
        <v>226</v>
      </c>
      <c r="D40" s="17"/>
      <c r="E40" s="36">
        <v>1.7470000000000001</v>
      </c>
      <c r="F40" s="36">
        <v>0.42499999999999999</v>
      </c>
      <c r="G40" s="36">
        <v>0.40599999999999997</v>
      </c>
      <c r="H40" s="36">
        <v>0.35300000000000004</v>
      </c>
      <c r="I40" s="36">
        <v>1.7849999999999995</v>
      </c>
      <c r="J40" s="36">
        <v>2.9689999999999999</v>
      </c>
      <c r="K40" s="36">
        <v>0.57999999999999996</v>
      </c>
      <c r="L40" s="36">
        <v>-0.90700000000000003</v>
      </c>
      <c r="M40" s="36">
        <v>-0.44699999999999995</v>
      </c>
      <c r="N40" s="36">
        <v>-1.468</v>
      </c>
      <c r="O40" s="36">
        <v>-2.242</v>
      </c>
      <c r="P40" s="36">
        <v>-0.82299999999999995</v>
      </c>
      <c r="Q40" s="36">
        <v>-0.7370000000000001</v>
      </c>
      <c r="R40" s="36">
        <v>-0.58000000000000007</v>
      </c>
      <c r="S40" s="34">
        <f>-2.562-R40-Q40-P40</f>
        <v>-0.42199999999999971</v>
      </c>
      <c r="T40" s="34">
        <f t="shared" si="4"/>
        <v>-2.5619999999999998</v>
      </c>
      <c r="U40" s="40">
        <v>0</v>
      </c>
      <c r="V40" s="40">
        <v>0</v>
      </c>
      <c r="W40" s="40">
        <v>0</v>
      </c>
      <c r="X40" s="40">
        <v>0</v>
      </c>
      <c r="Y40" s="40">
        <f t="shared" si="5"/>
        <v>0</v>
      </c>
      <c r="Z40" s="40"/>
      <c r="AA40" s="40"/>
      <c r="AB40" s="40"/>
      <c r="AC40" s="40"/>
      <c r="AD40" s="40"/>
      <c r="AI40" s="21"/>
      <c r="AJ40" s="21"/>
    </row>
    <row r="41" spans="3:36" s="20" customFormat="1" x14ac:dyDescent="0.2">
      <c r="C41" s="17" t="s">
        <v>212</v>
      </c>
      <c r="D41" s="17"/>
      <c r="E41" s="36">
        <v>-2.9350000000000001</v>
      </c>
      <c r="F41" s="36">
        <v>1.0999999999999999E-2</v>
      </c>
      <c r="G41" s="36">
        <v>0.50800000000000001</v>
      </c>
      <c r="H41" s="36">
        <v>-9.1039999999999992</v>
      </c>
      <c r="I41" s="36">
        <v>-4.6650000000000009</v>
      </c>
      <c r="J41" s="36">
        <v>-13.25</v>
      </c>
      <c r="K41" s="36">
        <v>-3.073</v>
      </c>
      <c r="L41" s="36">
        <v>-8.1020000000000003</v>
      </c>
      <c r="M41" s="36">
        <v>0.13900000000000068</v>
      </c>
      <c r="N41" s="36">
        <v>-10.308</v>
      </c>
      <c r="O41" s="36">
        <v>-21.344000000000001</v>
      </c>
      <c r="P41" s="36">
        <v>-10.747999999999999</v>
      </c>
      <c r="Q41" s="36">
        <v>2.5999999999999801E-2</v>
      </c>
      <c r="R41" s="36">
        <v>7.3999999999999844E-2</v>
      </c>
      <c r="S41" s="34">
        <f>-35.934-R41-Q41-P41</f>
        <v>-25.285999999999994</v>
      </c>
      <c r="T41" s="34">
        <f t="shared" si="4"/>
        <v>-35.933999999999997</v>
      </c>
      <c r="U41" s="40">
        <v>0</v>
      </c>
      <c r="V41" s="40">
        <v>0</v>
      </c>
      <c r="W41" s="40">
        <v>0</v>
      </c>
      <c r="X41" s="40">
        <v>0</v>
      </c>
      <c r="Y41" s="40">
        <f t="shared" si="5"/>
        <v>0</v>
      </c>
      <c r="Z41" s="40"/>
      <c r="AA41" s="40"/>
      <c r="AB41" s="40"/>
      <c r="AC41" s="40"/>
      <c r="AD41" s="40"/>
      <c r="AI41" s="21"/>
      <c r="AJ41" s="21"/>
    </row>
    <row r="42" spans="3:36" s="20" customFormat="1" x14ac:dyDescent="0.2">
      <c r="C42" s="17" t="s">
        <v>227</v>
      </c>
      <c r="D42" s="17"/>
      <c r="E42" s="36">
        <v>1.1970000000000001</v>
      </c>
      <c r="F42" s="36">
        <v>0</v>
      </c>
      <c r="G42" s="36">
        <v>0</v>
      </c>
      <c r="H42" s="36">
        <v>0</v>
      </c>
      <c r="I42" s="36">
        <v>4.4649999999999999</v>
      </c>
      <c r="J42" s="36">
        <v>4.4649999999999999</v>
      </c>
      <c r="K42" s="36">
        <v>0</v>
      </c>
      <c r="L42" s="36">
        <v>0</v>
      </c>
      <c r="M42" s="36">
        <v>0</v>
      </c>
      <c r="N42" s="36">
        <v>0</v>
      </c>
      <c r="O42" s="36">
        <v>0</v>
      </c>
      <c r="P42" s="36">
        <v>0</v>
      </c>
      <c r="Q42" s="36">
        <v>0</v>
      </c>
      <c r="R42" s="36">
        <v>1.323</v>
      </c>
      <c r="S42" s="34">
        <f>1.323-R42-Q42-P42</f>
        <v>0</v>
      </c>
      <c r="T42" s="34">
        <f t="shared" si="4"/>
        <v>1.323</v>
      </c>
      <c r="U42" s="40">
        <v>0</v>
      </c>
      <c r="V42" s="40">
        <v>0</v>
      </c>
      <c r="W42" s="40">
        <v>0</v>
      </c>
      <c r="X42" s="40">
        <v>0</v>
      </c>
      <c r="Y42" s="40">
        <f t="shared" si="5"/>
        <v>0</v>
      </c>
      <c r="Z42" s="40"/>
      <c r="AA42" s="40"/>
      <c r="AB42" s="40"/>
      <c r="AC42" s="40"/>
      <c r="AD42" s="40"/>
      <c r="AI42" s="21"/>
      <c r="AJ42" s="21"/>
    </row>
    <row r="43" spans="3:36" s="20" customFormat="1" x14ac:dyDescent="0.2">
      <c r="C43" s="17" t="s">
        <v>228</v>
      </c>
      <c r="D43" s="17"/>
      <c r="E43" s="36">
        <v>0</v>
      </c>
      <c r="F43" s="36">
        <v>0</v>
      </c>
      <c r="G43" s="36">
        <v>0</v>
      </c>
      <c r="H43" s="36">
        <v>0</v>
      </c>
      <c r="I43" s="36">
        <v>0</v>
      </c>
      <c r="J43" s="36">
        <v>0</v>
      </c>
      <c r="K43" s="36">
        <v>0</v>
      </c>
      <c r="L43" s="36">
        <v>9.5120000000000005</v>
      </c>
      <c r="M43" s="36">
        <v>9.9999999999944578E-4</v>
      </c>
      <c r="N43" s="36">
        <v>0</v>
      </c>
      <c r="O43" s="36">
        <v>9.5129999999999999</v>
      </c>
      <c r="P43" s="36">
        <v>0</v>
      </c>
      <c r="Q43" s="36">
        <v>0</v>
      </c>
      <c r="R43" s="36">
        <v>0</v>
      </c>
      <c r="S43" s="34"/>
      <c r="T43" s="34">
        <f t="shared" si="4"/>
        <v>0</v>
      </c>
      <c r="U43" s="40">
        <v>0</v>
      </c>
      <c r="V43" s="40">
        <v>0</v>
      </c>
      <c r="W43" s="40">
        <v>0</v>
      </c>
      <c r="X43" s="40">
        <v>0</v>
      </c>
      <c r="Y43" s="40">
        <f t="shared" si="5"/>
        <v>0</v>
      </c>
      <c r="Z43" s="40"/>
      <c r="AA43" s="40"/>
      <c r="AB43" s="40"/>
      <c r="AC43" s="40"/>
      <c r="AD43" s="40"/>
      <c r="AI43" s="21"/>
      <c r="AJ43" s="21"/>
    </row>
    <row r="44" spans="3:36" s="20" customFormat="1" x14ac:dyDescent="0.2">
      <c r="C44" s="17" t="s">
        <v>229</v>
      </c>
      <c r="D44" s="17"/>
      <c r="E44" s="36">
        <v>4.6440000000000001</v>
      </c>
      <c r="F44" s="36">
        <v>2.8250000000000002</v>
      </c>
      <c r="G44" s="36">
        <v>0.79999999999999982</v>
      </c>
      <c r="H44" s="36">
        <v>3.1500000000000004</v>
      </c>
      <c r="I44" s="36">
        <v>3.0600000000000005</v>
      </c>
      <c r="J44" s="36">
        <v>9.8350000000000009</v>
      </c>
      <c r="K44" s="36">
        <v>2.25</v>
      </c>
      <c r="L44" s="36">
        <v>0</v>
      </c>
      <c r="M44" s="36">
        <v>0</v>
      </c>
      <c r="N44" s="36">
        <v>0.86100000000000021</v>
      </c>
      <c r="O44" s="36">
        <v>3.1110000000000002</v>
      </c>
      <c r="P44" s="36">
        <v>0</v>
      </c>
      <c r="Q44" s="36">
        <v>0</v>
      </c>
      <c r="R44" s="36">
        <v>0</v>
      </c>
      <c r="S44" s="34"/>
      <c r="T44" s="34">
        <f t="shared" si="4"/>
        <v>0</v>
      </c>
      <c r="U44" s="40">
        <v>0</v>
      </c>
      <c r="V44" s="40">
        <v>0</v>
      </c>
      <c r="W44" s="40">
        <v>0</v>
      </c>
      <c r="X44" s="40">
        <v>0</v>
      </c>
      <c r="Y44" s="40">
        <f t="shared" si="5"/>
        <v>0</v>
      </c>
      <c r="Z44" s="40"/>
      <c r="AA44" s="40"/>
      <c r="AB44" s="40"/>
      <c r="AC44" s="40"/>
      <c r="AD44" s="40"/>
      <c r="AI44" s="21"/>
      <c r="AJ44" s="21"/>
    </row>
    <row r="45" spans="3:36" s="20" customFormat="1" x14ac:dyDescent="0.2">
      <c r="C45" s="17" t="s">
        <v>230</v>
      </c>
      <c r="D45" s="17"/>
      <c r="E45" s="36">
        <v>-25.641999999999999</v>
      </c>
      <c r="F45" s="36">
        <v>-8.5939999999999994</v>
      </c>
      <c r="G45" s="36">
        <v>-6.1260000000000012</v>
      </c>
      <c r="H45" s="36">
        <v>-9.0959999999999983</v>
      </c>
      <c r="I45" s="36">
        <v>-18.600000000000001</v>
      </c>
      <c r="J45" s="36">
        <v>-42.415999999999997</v>
      </c>
      <c r="K45" s="36">
        <v>-17.57</v>
      </c>
      <c r="L45" s="36">
        <v>-8.2190000000000012</v>
      </c>
      <c r="M45" s="36">
        <v>-10.491</v>
      </c>
      <c r="N45" s="36">
        <v>-7.046999999999997</v>
      </c>
      <c r="O45" s="36">
        <v>-43.326999999999998</v>
      </c>
      <c r="P45" s="36">
        <v>-12.978</v>
      </c>
      <c r="Q45" s="36">
        <v>-6.0140000000000011</v>
      </c>
      <c r="R45" s="36">
        <v>-8.6299999999999972</v>
      </c>
      <c r="S45" s="34">
        <f>-34.539-R45-Q45-P45</f>
        <v>-6.9170000000000034</v>
      </c>
      <c r="T45" s="34">
        <f t="shared" si="4"/>
        <v>-34.539000000000001</v>
      </c>
      <c r="U45" s="40">
        <v>0</v>
      </c>
      <c r="V45" s="40">
        <v>0</v>
      </c>
      <c r="W45" s="40">
        <v>0</v>
      </c>
      <c r="X45" s="40">
        <v>0</v>
      </c>
      <c r="Y45" s="40">
        <f t="shared" si="5"/>
        <v>0</v>
      </c>
      <c r="Z45" s="40"/>
      <c r="AA45" s="40"/>
      <c r="AB45" s="40"/>
      <c r="AC45" s="40"/>
      <c r="AD45" s="40"/>
      <c r="AI45" s="21"/>
      <c r="AJ45" s="21"/>
    </row>
    <row r="46" spans="3:36" s="20" customFormat="1" x14ac:dyDescent="0.2">
      <c r="C46" s="17" t="s">
        <v>231</v>
      </c>
      <c r="D46" s="17"/>
      <c r="E46" s="36">
        <v>5.2380000000000004</v>
      </c>
      <c r="F46" s="36">
        <v>0.52800000000000002</v>
      </c>
      <c r="G46" s="36">
        <v>0.18199999999999994</v>
      </c>
      <c r="H46" s="36">
        <v>0.47399999999999998</v>
      </c>
      <c r="I46" s="36">
        <v>0.66200000000000014</v>
      </c>
      <c r="J46" s="36">
        <v>1.8460000000000001</v>
      </c>
      <c r="K46" s="36">
        <v>0.95399999999999996</v>
      </c>
      <c r="L46" s="36">
        <v>1.0810000000000002</v>
      </c>
      <c r="M46" s="36">
        <v>2.5099999999999998</v>
      </c>
      <c r="N46" s="36">
        <v>0.75600000000000023</v>
      </c>
      <c r="O46" s="36">
        <v>5.3010000000000002</v>
      </c>
      <c r="P46" s="36">
        <v>0.95</v>
      </c>
      <c r="Q46" s="36">
        <v>1.748</v>
      </c>
      <c r="R46" s="36">
        <v>0.16000000000000014</v>
      </c>
      <c r="S46" s="34">
        <f>3.156-R46-Q46-P46</f>
        <v>0.29800000000000004</v>
      </c>
      <c r="T46" s="34">
        <f t="shared" si="4"/>
        <v>3.1560000000000006</v>
      </c>
      <c r="U46" s="40">
        <v>0</v>
      </c>
      <c r="V46" s="40">
        <v>0</v>
      </c>
      <c r="W46" s="40">
        <v>0</v>
      </c>
      <c r="X46" s="40">
        <v>0</v>
      </c>
      <c r="Y46" s="40">
        <f t="shared" si="5"/>
        <v>0</v>
      </c>
      <c r="Z46" s="40"/>
      <c r="AA46" s="40"/>
      <c r="AB46" s="40"/>
      <c r="AC46" s="40"/>
      <c r="AD46" s="40"/>
      <c r="AI46" s="21"/>
      <c r="AJ46" s="21"/>
    </row>
    <row r="47" spans="3:36" s="20" customFormat="1" x14ac:dyDescent="0.2">
      <c r="C47" s="17" t="s">
        <v>232</v>
      </c>
      <c r="D47" s="17"/>
      <c r="E47" s="36">
        <v>41.197000000000003</v>
      </c>
      <c r="F47" s="36">
        <v>-16.393000000000001</v>
      </c>
      <c r="G47" s="36">
        <v>4.5370000000000008</v>
      </c>
      <c r="H47" s="36">
        <v>-4.4489999999999981</v>
      </c>
      <c r="I47" s="36">
        <v>-5.4450000000000003</v>
      </c>
      <c r="J47" s="36">
        <v>-21.75</v>
      </c>
      <c r="K47" s="36">
        <v>-15.457000000000001</v>
      </c>
      <c r="L47" s="36">
        <v>-53.803000000000004</v>
      </c>
      <c r="M47" s="36">
        <v>-45.411999999999992</v>
      </c>
      <c r="N47" s="36">
        <v>-52.295999999999985</v>
      </c>
      <c r="O47" s="36">
        <v>-166.96799999999999</v>
      </c>
      <c r="P47" s="36">
        <v>38.597999999999999</v>
      </c>
      <c r="Q47" s="36">
        <v>8.304000000000002</v>
      </c>
      <c r="R47" s="36">
        <v>20.182999999999993</v>
      </c>
      <c r="S47" s="34">
        <f>54.627-R47-Q47-P47</f>
        <v>-12.457999999999991</v>
      </c>
      <c r="T47" s="34">
        <f t="shared" si="4"/>
        <v>54.627000000000002</v>
      </c>
      <c r="U47" s="40">
        <v>0</v>
      </c>
      <c r="V47" s="40">
        <v>0</v>
      </c>
      <c r="W47" s="40">
        <v>0</v>
      </c>
      <c r="X47" s="40">
        <v>0</v>
      </c>
      <c r="Y47" s="40">
        <f t="shared" si="5"/>
        <v>0</v>
      </c>
      <c r="Z47" s="40"/>
      <c r="AA47" s="40"/>
      <c r="AB47" s="40"/>
      <c r="AC47" s="40"/>
      <c r="AD47" s="40"/>
      <c r="AI47" s="21"/>
      <c r="AJ47" s="21"/>
    </row>
    <row r="48" spans="3:36" s="20" customFormat="1" x14ac:dyDescent="0.2">
      <c r="C48" s="32" t="s">
        <v>139</v>
      </c>
      <c r="D48" s="32"/>
      <c r="E48" s="33">
        <f>SUM(E30:E47,E28,-E27)</f>
        <v>216.14000000000004</v>
      </c>
      <c r="F48" s="33">
        <f t="shared" ref="F48:AD48" si="6">SUM(F30:F47,F28,-F27)</f>
        <v>-21.006000000000004</v>
      </c>
      <c r="G48" s="33">
        <f t="shared" si="6"/>
        <v>-1.5120000000000111</v>
      </c>
      <c r="H48" s="33">
        <f t="shared" si="6"/>
        <v>-26.514999999999997</v>
      </c>
      <c r="I48" s="33">
        <f t="shared" si="6"/>
        <v>-27.15900000000001</v>
      </c>
      <c r="J48" s="33">
        <f t="shared" si="6"/>
        <v>-76.191999999999979</v>
      </c>
      <c r="K48" s="33">
        <f t="shared" si="6"/>
        <v>-19.780999999999999</v>
      </c>
      <c r="L48" s="33">
        <f t="shared" si="6"/>
        <v>34.625999999999991</v>
      </c>
      <c r="M48" s="33">
        <f t="shared" si="6"/>
        <v>91.356000000000023</v>
      </c>
      <c r="N48" s="33">
        <f t="shared" si="6"/>
        <v>181.6</v>
      </c>
      <c r="O48" s="33">
        <f t="shared" si="6"/>
        <v>287.80099999999993</v>
      </c>
      <c r="P48" s="33">
        <f t="shared" si="6"/>
        <v>220.82199999999995</v>
      </c>
      <c r="Q48" s="33">
        <f t="shared" si="6"/>
        <v>193.63400000000001</v>
      </c>
      <c r="R48" s="33">
        <f t="shared" si="6"/>
        <v>148.46299999999999</v>
      </c>
      <c r="S48" s="33">
        <f t="shared" si="6"/>
        <v>125.483</v>
      </c>
      <c r="T48" s="33">
        <f t="shared" si="6"/>
        <v>688.40200000000004</v>
      </c>
      <c r="U48" s="33">
        <f t="shared" si="6"/>
        <v>145.92305999999999</v>
      </c>
      <c r="V48" s="33">
        <f t="shared" si="6"/>
        <v>192.11183567250222</v>
      </c>
      <c r="W48" s="33">
        <f t="shared" si="6"/>
        <v>131.35919717676862</v>
      </c>
      <c r="X48" s="33">
        <f t="shared" si="6"/>
        <v>230.91681477081383</v>
      </c>
      <c r="Y48" s="33">
        <f t="shared" si="6"/>
        <v>700.31090762008489</v>
      </c>
      <c r="Z48" s="33">
        <f t="shared" si="6"/>
        <v>289.49223445684947</v>
      </c>
      <c r="AA48" s="33">
        <f t="shared" si="6"/>
        <v>264.15463720684932</v>
      </c>
      <c r="AB48" s="33">
        <f t="shared" si="6"/>
        <v>248.2152911568493</v>
      </c>
      <c r="AC48" s="33">
        <f t="shared" si="6"/>
        <v>357.85489945684947</v>
      </c>
      <c r="AD48" s="33">
        <f t="shared" si="6"/>
        <v>1159.7170622773974</v>
      </c>
      <c r="AI48" s="21"/>
      <c r="AJ48" s="21"/>
    </row>
    <row r="49" spans="3:36" s="20" customFormat="1" ht="5.0999999999999996" customHeight="1" x14ac:dyDescent="0.2">
      <c r="C49" s="17"/>
      <c r="D49" s="17"/>
      <c r="E49" s="37"/>
      <c r="F49" s="37"/>
      <c r="G49" s="37"/>
      <c r="H49" s="37"/>
      <c r="I49" s="37"/>
      <c r="J49" s="37"/>
      <c r="K49" s="37"/>
      <c r="L49" s="37"/>
      <c r="M49" s="37"/>
      <c r="N49" s="37"/>
      <c r="O49" s="37"/>
      <c r="P49" s="37"/>
      <c r="Q49" s="37"/>
      <c r="R49" s="37"/>
      <c r="AI49" s="21"/>
      <c r="AJ49" s="21"/>
    </row>
    <row r="50" spans="3:36" s="20" customFormat="1" x14ac:dyDescent="0.2">
      <c r="C50" s="17" t="s">
        <v>233</v>
      </c>
      <c r="D50" s="17"/>
      <c r="E50" s="36">
        <v>0</v>
      </c>
      <c r="F50" s="36">
        <v>0</v>
      </c>
      <c r="G50" s="36">
        <v>0</v>
      </c>
      <c r="H50" s="36">
        <v>54.155000000000001</v>
      </c>
      <c r="I50" s="36">
        <v>-0.10800000000000409</v>
      </c>
      <c r="J50" s="36">
        <v>54.046999999999997</v>
      </c>
      <c r="K50" s="36">
        <v>0</v>
      </c>
      <c r="L50" s="36">
        <v>0</v>
      </c>
      <c r="M50" s="36">
        <v>0</v>
      </c>
      <c r="N50" s="36">
        <v>0</v>
      </c>
      <c r="O50" s="36">
        <v>0</v>
      </c>
      <c r="P50" s="36">
        <v>0</v>
      </c>
      <c r="Q50" s="36">
        <v>0</v>
      </c>
      <c r="R50" s="36">
        <v>0</v>
      </c>
      <c r="S50" s="34">
        <v>0</v>
      </c>
      <c r="T50" s="34">
        <f>+SUM(S50+R50+Q50+P50)</f>
        <v>0</v>
      </c>
      <c r="U50" s="40"/>
      <c r="V50" s="40"/>
      <c r="W50" s="40"/>
      <c r="X50" s="40"/>
      <c r="Y50" s="40">
        <f>+SUM(U50:X50)</f>
        <v>0</v>
      </c>
      <c r="Z50" s="40"/>
      <c r="AA50" s="40"/>
      <c r="AB50" s="40"/>
      <c r="AC50" s="40"/>
      <c r="AD50" s="40"/>
      <c r="AI50" s="21"/>
      <c r="AJ50" s="21"/>
    </row>
    <row r="51" spans="3:36" s="20" customFormat="1" x14ac:dyDescent="0.2">
      <c r="C51" s="17" t="s">
        <v>234</v>
      </c>
      <c r="D51" s="17"/>
      <c r="E51" s="36">
        <v>-50.048999999999999</v>
      </c>
      <c r="F51" s="36">
        <v>-3.2810000000000001</v>
      </c>
      <c r="G51" s="36">
        <v>-20.849</v>
      </c>
      <c r="H51" s="36">
        <v>-20.084</v>
      </c>
      <c r="I51" s="36">
        <v>-33.820999999999991</v>
      </c>
      <c r="J51" s="36">
        <v>-78.034999999999997</v>
      </c>
      <c r="K51" s="36">
        <v>-37.988999999999997</v>
      </c>
      <c r="L51" s="36">
        <v>-15.812000000000005</v>
      </c>
      <c r="M51" s="36">
        <v>-33.802</v>
      </c>
      <c r="N51" s="36">
        <v>-28.372999999999998</v>
      </c>
      <c r="O51" s="36">
        <v>-115.976</v>
      </c>
      <c r="P51" s="36">
        <v>-66.721999999999994</v>
      </c>
      <c r="Q51" s="36">
        <v>-121.34600000000002</v>
      </c>
      <c r="R51" s="36">
        <v>-4.1499999999999773</v>
      </c>
      <c r="S51" s="34">
        <f>-205.159-R51-Q51-P51</f>
        <v>-12.941000000000003</v>
      </c>
      <c r="T51" s="34">
        <f t="shared" ref="T51:T58" si="7">+SUM(S51+R51+Q51+P51)</f>
        <v>-205.15899999999999</v>
      </c>
      <c r="U51" s="40">
        <v>-21</v>
      </c>
      <c r="V51" s="40">
        <f>+($Y$51-$U$51)/3</f>
        <v>-13</v>
      </c>
      <c r="W51" s="40">
        <f>+($Y$51-$U$51)/3</f>
        <v>-13</v>
      </c>
      <c r="X51" s="40">
        <f>+($Y$51-$U$51)/3</f>
        <v>-13</v>
      </c>
      <c r="Y51" s="40">
        <v>-60</v>
      </c>
      <c r="Z51" s="40"/>
      <c r="AA51" s="40"/>
      <c r="AB51" s="40"/>
      <c r="AC51" s="40"/>
      <c r="AD51" s="40"/>
      <c r="AI51" s="21"/>
      <c r="AJ51" s="21"/>
    </row>
    <row r="52" spans="3:36" s="20" customFormat="1" x14ac:dyDescent="0.2">
      <c r="C52" s="17" t="s">
        <v>235</v>
      </c>
      <c r="D52" s="17"/>
      <c r="E52" s="36">
        <v>73.120999999999995</v>
      </c>
      <c r="F52" s="36">
        <v>-1.0999999999999999E-2</v>
      </c>
      <c r="G52" s="36">
        <v>3.4420000000000002</v>
      </c>
      <c r="H52" s="36">
        <v>110.07900000000001</v>
      </c>
      <c r="I52" s="36">
        <v>52.298999999999992</v>
      </c>
      <c r="J52" s="36">
        <v>165.809</v>
      </c>
      <c r="K52" s="36">
        <v>24.257000000000001</v>
      </c>
      <c r="L52" s="36">
        <v>55.356999999999999</v>
      </c>
      <c r="M52" s="36">
        <v>-0.13800000000000168</v>
      </c>
      <c r="N52" s="36">
        <v>19.681000000000001</v>
      </c>
      <c r="O52" s="36">
        <v>99.156999999999996</v>
      </c>
      <c r="P52" s="36">
        <v>20.021000000000001</v>
      </c>
      <c r="Q52" s="36">
        <v>4.8999999999999488E-2</v>
      </c>
      <c r="R52" s="36">
        <v>-3.399999999999892E-2</v>
      </c>
      <c r="S52" s="34">
        <f>66.002-R52-Q52-P52</f>
        <v>45.965999999999994</v>
      </c>
      <c r="T52" s="34">
        <f t="shared" si="7"/>
        <v>66.001999999999995</v>
      </c>
      <c r="U52" s="40"/>
      <c r="V52" s="40"/>
      <c r="W52" s="40"/>
      <c r="X52" s="40"/>
      <c r="Y52" s="40">
        <f t="shared" ref="Y52:Y58" si="8">+SUM(U52:X52)</f>
        <v>0</v>
      </c>
      <c r="Z52" s="40"/>
      <c r="AA52" s="40"/>
      <c r="AB52" s="40"/>
      <c r="AC52" s="40"/>
      <c r="AD52" s="40"/>
      <c r="AI52" s="21"/>
      <c r="AJ52" s="21"/>
    </row>
    <row r="53" spans="3:36" s="20" customFormat="1" x14ac:dyDescent="0.2">
      <c r="C53" s="17" t="s">
        <v>236</v>
      </c>
      <c r="D53" s="17"/>
      <c r="E53" s="36">
        <v>-0.50700000000000001</v>
      </c>
      <c r="F53" s="36">
        <v>-0.17899999999999999</v>
      </c>
      <c r="G53" s="36">
        <v>-9.2000000000000026E-2</v>
      </c>
      <c r="H53" s="36">
        <v>-0.17899999999999999</v>
      </c>
      <c r="I53" s="36">
        <v>-0.52899999999999991</v>
      </c>
      <c r="J53" s="36">
        <v>-0.97899999999999998</v>
      </c>
      <c r="K53" s="36">
        <v>-0.39</v>
      </c>
      <c r="L53" s="36">
        <v>-0.11899999999999999</v>
      </c>
      <c r="M53" s="36">
        <v>-0.16500000000000004</v>
      </c>
      <c r="N53" s="36">
        <v>-3.5999999999999921E-2</v>
      </c>
      <c r="O53" s="36">
        <v>-0.71</v>
      </c>
      <c r="P53" s="36">
        <v>-0.52400000000000002</v>
      </c>
      <c r="Q53" s="36">
        <v>-6.1999999999999944E-2</v>
      </c>
      <c r="R53" s="36">
        <v>-0.44899999999999995</v>
      </c>
      <c r="S53" s="34">
        <f>-1.471-R53-Q53-P53</f>
        <v>-0.43600000000000028</v>
      </c>
      <c r="T53" s="34">
        <f t="shared" si="7"/>
        <v>-1.4710000000000001</v>
      </c>
      <c r="U53" s="40"/>
      <c r="V53" s="40"/>
      <c r="W53" s="40"/>
      <c r="X53" s="40"/>
      <c r="Y53" s="40">
        <f t="shared" si="8"/>
        <v>0</v>
      </c>
      <c r="Z53" s="40"/>
      <c r="AA53" s="40"/>
      <c r="AB53" s="40"/>
      <c r="AC53" s="40"/>
      <c r="AD53" s="40"/>
      <c r="AI53" s="21"/>
      <c r="AJ53" s="21"/>
    </row>
    <row r="54" spans="3:36" s="20" customFormat="1" x14ac:dyDescent="0.2">
      <c r="C54" s="17" t="s">
        <v>237</v>
      </c>
      <c r="D54" s="17"/>
      <c r="E54" s="36">
        <v>2.347</v>
      </c>
      <c r="F54" s="36">
        <v>5.3999999999999999E-2</v>
      </c>
      <c r="G54" s="36">
        <v>-0.14899999999999999</v>
      </c>
      <c r="H54" s="36">
        <v>-6.766</v>
      </c>
      <c r="I54" s="36">
        <v>-0.69300000000000028</v>
      </c>
      <c r="J54" s="36">
        <v>-7.5540000000000003</v>
      </c>
      <c r="K54" s="36">
        <v>-0.52700000000000002</v>
      </c>
      <c r="L54" s="36">
        <v>-0.31099999999999994</v>
      </c>
      <c r="M54" s="36">
        <v>2.7</v>
      </c>
      <c r="N54" s="36">
        <v>-0.50000000000000011</v>
      </c>
      <c r="O54" s="36">
        <v>1.3620000000000001</v>
      </c>
      <c r="P54" s="36">
        <v>0</v>
      </c>
      <c r="Q54" s="36">
        <v>0</v>
      </c>
      <c r="R54" s="36">
        <v>-1.3340000000000001</v>
      </c>
      <c r="S54" s="34">
        <f>-3.639-R54-Q54-P54</f>
        <v>-2.3049999999999997</v>
      </c>
      <c r="T54" s="34">
        <f t="shared" si="7"/>
        <v>-3.6389999999999998</v>
      </c>
      <c r="U54" s="40"/>
      <c r="V54" s="40"/>
      <c r="W54" s="40"/>
      <c r="X54" s="40"/>
      <c r="Y54" s="40">
        <f t="shared" si="8"/>
        <v>0</v>
      </c>
      <c r="Z54" s="40"/>
      <c r="AA54" s="40"/>
      <c r="AB54" s="40"/>
      <c r="AC54" s="40"/>
      <c r="AD54" s="40"/>
      <c r="AI54" s="21"/>
      <c r="AJ54" s="21"/>
    </row>
    <row r="55" spans="3:36" s="20" customFormat="1" x14ac:dyDescent="0.2">
      <c r="C55" s="17" t="s">
        <v>238</v>
      </c>
      <c r="D55" s="17"/>
      <c r="E55" s="36">
        <v>7.4560000000000004</v>
      </c>
      <c r="F55" s="36">
        <v>0</v>
      </c>
      <c r="G55" s="36">
        <v>0</v>
      </c>
      <c r="H55" s="36">
        <v>0</v>
      </c>
      <c r="I55" s="36">
        <v>0</v>
      </c>
      <c r="J55" s="36">
        <v>0</v>
      </c>
      <c r="K55" s="36">
        <v>0</v>
      </c>
      <c r="L55" s="36">
        <v>0</v>
      </c>
      <c r="M55" s="36">
        <v>0</v>
      </c>
      <c r="N55" s="36">
        <v>0</v>
      </c>
      <c r="O55" s="36">
        <v>0</v>
      </c>
      <c r="P55" s="36">
        <v>0</v>
      </c>
      <c r="Q55" s="36">
        <v>0</v>
      </c>
      <c r="R55" s="36">
        <v>0</v>
      </c>
      <c r="S55" s="34">
        <v>0</v>
      </c>
      <c r="T55" s="34">
        <f t="shared" si="7"/>
        <v>0</v>
      </c>
      <c r="U55" s="40"/>
      <c r="V55" s="40"/>
      <c r="W55" s="40"/>
      <c r="X55" s="40"/>
      <c r="Y55" s="40">
        <f t="shared" si="8"/>
        <v>0</v>
      </c>
      <c r="Z55" s="40"/>
      <c r="AA55" s="40"/>
      <c r="AB55" s="40"/>
      <c r="AC55" s="40"/>
      <c r="AD55" s="40"/>
      <c r="AI55" s="21"/>
      <c r="AJ55" s="21"/>
    </row>
    <row r="56" spans="3:36" s="20" customFormat="1" x14ac:dyDescent="0.2">
      <c r="C56" s="17" t="s">
        <v>239</v>
      </c>
      <c r="D56" s="17"/>
      <c r="E56" s="36">
        <v>0</v>
      </c>
      <c r="F56" s="36">
        <v>0</v>
      </c>
      <c r="G56" s="36">
        <v>0</v>
      </c>
      <c r="H56" s="36">
        <v>0</v>
      </c>
      <c r="I56" s="36">
        <v>0</v>
      </c>
      <c r="J56" s="36">
        <v>0</v>
      </c>
      <c r="K56" s="36">
        <v>0</v>
      </c>
      <c r="L56" s="36">
        <v>140.06899999999999</v>
      </c>
      <c r="M56" s="36">
        <v>-1.1029999999999802</v>
      </c>
      <c r="N56" s="36">
        <v>0</v>
      </c>
      <c r="O56" s="36">
        <v>138.96600000000001</v>
      </c>
      <c r="P56" s="36">
        <v>0</v>
      </c>
      <c r="Q56" s="36">
        <v>0</v>
      </c>
      <c r="R56" s="36">
        <v>0</v>
      </c>
      <c r="S56" s="34">
        <v>0</v>
      </c>
      <c r="T56" s="34">
        <f t="shared" si="7"/>
        <v>0</v>
      </c>
      <c r="U56" s="40"/>
      <c r="V56" s="40"/>
      <c r="W56" s="40"/>
      <c r="X56" s="40"/>
      <c r="Y56" s="40">
        <f t="shared" si="8"/>
        <v>0</v>
      </c>
      <c r="Z56" s="40"/>
      <c r="AA56" s="40"/>
      <c r="AB56" s="40"/>
      <c r="AC56" s="40"/>
      <c r="AD56" s="40"/>
      <c r="AI56" s="21"/>
      <c r="AJ56" s="21"/>
    </row>
    <row r="57" spans="3:36" s="20" customFormat="1" x14ac:dyDescent="0.2">
      <c r="C57" s="17" t="s">
        <v>240</v>
      </c>
      <c r="D57" s="17"/>
      <c r="E57" s="36">
        <v>0</v>
      </c>
      <c r="F57" s="36">
        <v>0</v>
      </c>
      <c r="G57" s="36">
        <v>0</v>
      </c>
      <c r="H57" s="36">
        <v>0</v>
      </c>
      <c r="I57" s="36">
        <v>0</v>
      </c>
      <c r="J57" s="36">
        <v>0</v>
      </c>
      <c r="K57" s="36">
        <v>0</v>
      </c>
      <c r="L57" s="36">
        <v>0</v>
      </c>
      <c r="M57" s="36">
        <v>-80</v>
      </c>
      <c r="N57" s="36">
        <v>-25</v>
      </c>
      <c r="O57" s="36">
        <v>-105</v>
      </c>
      <c r="P57" s="36">
        <v>-90</v>
      </c>
      <c r="Q57" s="36">
        <v>-85</v>
      </c>
      <c r="R57" s="36">
        <v>-35</v>
      </c>
      <c r="S57" s="34">
        <f>-235-R57-Q57-P57</f>
        <v>-25</v>
      </c>
      <c r="T57" s="34">
        <f t="shared" si="7"/>
        <v>-235</v>
      </c>
      <c r="U57" s="40"/>
      <c r="V57" s="40"/>
      <c r="W57" s="40"/>
      <c r="X57" s="40"/>
      <c r="Y57" s="40">
        <f t="shared" si="8"/>
        <v>0</v>
      </c>
      <c r="Z57" s="40"/>
      <c r="AA57" s="40"/>
      <c r="AB57" s="40"/>
      <c r="AC57" s="40"/>
      <c r="AD57" s="40"/>
      <c r="AI57" s="21"/>
      <c r="AJ57" s="21"/>
    </row>
    <row r="58" spans="3:36" s="20" customFormat="1" x14ac:dyDescent="0.2">
      <c r="C58" s="17" t="s">
        <v>241</v>
      </c>
      <c r="D58" s="17"/>
      <c r="E58" s="36">
        <v>0</v>
      </c>
      <c r="F58" s="36">
        <v>0</v>
      </c>
      <c r="G58" s="36">
        <v>0</v>
      </c>
      <c r="H58" s="36">
        <v>0</v>
      </c>
      <c r="I58" s="36">
        <v>0</v>
      </c>
      <c r="J58" s="36">
        <v>0</v>
      </c>
      <c r="K58" s="36">
        <v>0</v>
      </c>
      <c r="L58" s="36">
        <v>0</v>
      </c>
      <c r="M58" s="36">
        <v>0</v>
      </c>
      <c r="N58" s="36">
        <v>25</v>
      </c>
      <c r="O58" s="36">
        <v>25</v>
      </c>
      <c r="P58" s="36">
        <v>65</v>
      </c>
      <c r="Q58" s="36">
        <v>70</v>
      </c>
      <c r="R58" s="36">
        <v>80</v>
      </c>
      <c r="S58" s="34">
        <f>255-R58-Q58-P58</f>
        <v>40</v>
      </c>
      <c r="T58" s="34">
        <f t="shared" si="7"/>
        <v>255</v>
      </c>
      <c r="U58" s="40"/>
      <c r="V58" s="40"/>
      <c r="W58" s="40"/>
      <c r="X58" s="40"/>
      <c r="Y58" s="40">
        <f t="shared" si="8"/>
        <v>0</v>
      </c>
      <c r="Z58" s="40"/>
      <c r="AA58" s="40"/>
      <c r="AB58" s="40"/>
      <c r="AC58" s="40"/>
      <c r="AD58" s="40"/>
      <c r="AI58" s="21"/>
      <c r="AJ58" s="21"/>
    </row>
    <row r="59" spans="3:36" s="20" customFormat="1" x14ac:dyDescent="0.2">
      <c r="C59" s="32" t="s">
        <v>138</v>
      </c>
      <c r="D59" s="32"/>
      <c r="E59" s="33">
        <f t="shared" ref="E59:AD59" si="9">+SUM(E50:E58)</f>
        <v>32.367999999999995</v>
      </c>
      <c r="F59" s="33">
        <f t="shared" si="9"/>
        <v>-3.4170000000000003</v>
      </c>
      <c r="G59" s="33">
        <f t="shared" si="9"/>
        <v>-17.648</v>
      </c>
      <c r="H59" s="33">
        <f t="shared" si="9"/>
        <v>137.20500000000001</v>
      </c>
      <c r="I59" s="33">
        <f t="shared" si="9"/>
        <v>17.147999999999996</v>
      </c>
      <c r="J59" s="33">
        <f t="shared" si="9"/>
        <v>133.28799999999998</v>
      </c>
      <c r="K59" s="33">
        <f t="shared" si="9"/>
        <v>-14.648999999999996</v>
      </c>
      <c r="L59" s="33">
        <f t="shared" si="9"/>
        <v>179.18399999999997</v>
      </c>
      <c r="M59" s="33">
        <f t="shared" si="9"/>
        <v>-112.50799999999998</v>
      </c>
      <c r="N59" s="33">
        <f t="shared" si="9"/>
        <v>-9.2279999999999944</v>
      </c>
      <c r="O59" s="33">
        <f t="shared" si="9"/>
        <v>42.799000000000007</v>
      </c>
      <c r="P59" s="33">
        <f t="shared" si="9"/>
        <v>-72.224999999999994</v>
      </c>
      <c r="Q59" s="33">
        <f t="shared" si="9"/>
        <v>-136.35900000000004</v>
      </c>
      <c r="R59" s="33">
        <f t="shared" si="9"/>
        <v>39.033000000000023</v>
      </c>
      <c r="S59" s="33">
        <f t="shared" si="9"/>
        <v>45.283999999999992</v>
      </c>
      <c r="T59" s="33">
        <f t="shared" si="9"/>
        <v>-124.267</v>
      </c>
      <c r="U59" s="33">
        <f t="shared" si="9"/>
        <v>-21</v>
      </c>
      <c r="V59" s="33">
        <f t="shared" si="9"/>
        <v>-13</v>
      </c>
      <c r="W59" s="33">
        <f t="shared" si="9"/>
        <v>-13</v>
      </c>
      <c r="X59" s="33">
        <f t="shared" si="9"/>
        <v>-13</v>
      </c>
      <c r="Y59" s="33">
        <f t="shared" si="9"/>
        <v>-60</v>
      </c>
      <c r="Z59" s="33">
        <f t="shared" si="9"/>
        <v>0</v>
      </c>
      <c r="AA59" s="33">
        <f t="shared" si="9"/>
        <v>0</v>
      </c>
      <c r="AB59" s="33">
        <f t="shared" si="9"/>
        <v>0</v>
      </c>
      <c r="AC59" s="33">
        <f t="shared" si="9"/>
        <v>0</v>
      </c>
      <c r="AD59" s="33">
        <f t="shared" si="9"/>
        <v>0</v>
      </c>
      <c r="AI59" s="21"/>
      <c r="AJ59" s="21"/>
    </row>
    <row r="60" spans="3:36" s="20" customFormat="1" ht="5.0999999999999996" customHeight="1" x14ac:dyDescent="0.2">
      <c r="C60" s="17"/>
      <c r="D60" s="17"/>
      <c r="E60" s="37"/>
      <c r="F60" s="37"/>
      <c r="G60" s="37"/>
      <c r="H60" s="37"/>
      <c r="I60" s="37"/>
      <c r="J60" s="37"/>
      <c r="K60" s="37"/>
      <c r="L60" s="37"/>
      <c r="M60" s="37"/>
      <c r="N60" s="37"/>
      <c r="O60" s="37"/>
      <c r="P60" s="37"/>
      <c r="Q60" s="37"/>
      <c r="R60" s="37"/>
      <c r="AI60" s="21"/>
      <c r="AJ60" s="21"/>
    </row>
    <row r="61" spans="3:36" s="20" customFormat="1" x14ac:dyDescent="0.2">
      <c r="C61" s="17" t="s">
        <v>242</v>
      </c>
      <c r="D61" s="17"/>
      <c r="E61" s="36">
        <v>362.98899999999998</v>
      </c>
      <c r="F61" s="36">
        <v>0</v>
      </c>
      <c r="G61" s="36">
        <v>-4.9000000000000002E-2</v>
      </c>
      <c r="H61" s="36">
        <v>19.518000000000001</v>
      </c>
      <c r="I61" s="36">
        <v>24.243000000000002</v>
      </c>
      <c r="J61" s="36">
        <v>43.712000000000003</v>
      </c>
      <c r="K61" s="36">
        <v>0</v>
      </c>
      <c r="L61" s="36">
        <v>641.04999999999995</v>
      </c>
      <c r="M61" s="36">
        <v>0</v>
      </c>
      <c r="N61" s="36">
        <v>-0.90899999999999181</v>
      </c>
      <c r="O61" s="36">
        <v>640.14099999999996</v>
      </c>
      <c r="P61" s="36">
        <v>0</v>
      </c>
      <c r="Q61" s="36">
        <v>0</v>
      </c>
      <c r="R61" s="36">
        <v>0</v>
      </c>
      <c r="S61" s="34">
        <v>0</v>
      </c>
      <c r="T61" s="34">
        <f>+SUM(P61:S61)</f>
        <v>0</v>
      </c>
      <c r="U61" s="40"/>
      <c r="V61" s="40"/>
      <c r="W61" s="40"/>
      <c r="X61" s="40"/>
      <c r="Y61" s="40">
        <f>+SUM(U61:X61)</f>
        <v>0</v>
      </c>
      <c r="Z61" s="40"/>
      <c r="AA61" s="40"/>
      <c r="AB61" s="40"/>
      <c r="AC61" s="40"/>
      <c r="AD61" s="40"/>
      <c r="AI61" s="21"/>
      <c r="AJ61" s="21"/>
    </row>
    <row r="62" spans="3:36" s="20" customFormat="1" x14ac:dyDescent="0.2">
      <c r="C62" s="17" t="s">
        <v>243</v>
      </c>
      <c r="D62" s="17"/>
      <c r="E62" s="36">
        <v>-422.904</v>
      </c>
      <c r="F62" s="36">
        <v>0</v>
      </c>
      <c r="G62" s="36">
        <v>0</v>
      </c>
      <c r="H62" s="36">
        <v>0</v>
      </c>
      <c r="I62" s="36">
        <v>-295.09100000000001</v>
      </c>
      <c r="J62" s="36">
        <v>-295.09100000000001</v>
      </c>
      <c r="K62" s="36">
        <v>-10.981</v>
      </c>
      <c r="L62" s="36">
        <v>10.981</v>
      </c>
      <c r="M62" s="36">
        <v>0</v>
      </c>
      <c r="N62" s="36">
        <v>0</v>
      </c>
      <c r="O62" s="36">
        <v>0</v>
      </c>
      <c r="P62" s="36">
        <v>0</v>
      </c>
      <c r="Q62" s="36">
        <v>0</v>
      </c>
      <c r="R62" s="36">
        <v>0</v>
      </c>
      <c r="S62" s="34">
        <v>0</v>
      </c>
      <c r="T62" s="34">
        <f t="shared" ref="T62:T76" si="10">+SUM(P62:S62)</f>
        <v>0</v>
      </c>
      <c r="U62" s="40"/>
      <c r="V62" s="40"/>
      <c r="W62" s="40"/>
      <c r="X62" s="40"/>
      <c r="Y62" s="40">
        <f>+SUM(U62:X62)</f>
        <v>0</v>
      </c>
      <c r="Z62" s="40"/>
      <c r="AA62" s="40"/>
      <c r="AB62" s="40"/>
      <c r="AC62" s="40"/>
      <c r="AD62" s="40"/>
      <c r="AI62" s="21"/>
      <c r="AJ62" s="21"/>
    </row>
    <row r="63" spans="3:36" s="20" customFormat="1" x14ac:dyDescent="0.2">
      <c r="C63" s="17" t="s">
        <v>244</v>
      </c>
      <c r="D63" s="17"/>
      <c r="E63" s="36">
        <v>0</v>
      </c>
      <c r="F63" s="36">
        <v>0</v>
      </c>
      <c r="G63" s="36">
        <v>0</v>
      </c>
      <c r="H63" s="36">
        <v>0</v>
      </c>
      <c r="I63" s="36">
        <v>0</v>
      </c>
      <c r="J63" s="36">
        <v>0</v>
      </c>
      <c r="K63" s="36">
        <v>0</v>
      </c>
      <c r="L63" s="36"/>
      <c r="M63" s="36">
        <v>0</v>
      </c>
      <c r="N63" s="36">
        <v>0</v>
      </c>
      <c r="O63" s="36">
        <v>0</v>
      </c>
      <c r="P63" s="36">
        <v>0</v>
      </c>
      <c r="Q63" s="36">
        <v>0</v>
      </c>
      <c r="R63" s="36">
        <v>-1.323</v>
      </c>
      <c r="S63" s="34">
        <f>-1.323-R63-Q63-P63</f>
        <v>0</v>
      </c>
      <c r="T63" s="34">
        <f t="shared" si="10"/>
        <v>-1.323</v>
      </c>
      <c r="U63" s="40"/>
      <c r="V63" s="40"/>
      <c r="W63" s="40"/>
      <c r="X63" s="40"/>
      <c r="Y63" s="40">
        <f>+SUM(U63:X63)</f>
        <v>0</v>
      </c>
      <c r="Z63" s="40"/>
      <c r="AA63" s="40"/>
      <c r="AB63" s="40"/>
      <c r="AC63" s="40"/>
      <c r="AD63" s="40"/>
      <c r="AI63" s="21"/>
      <c r="AJ63" s="21"/>
    </row>
    <row r="64" spans="3:36" s="20" customFormat="1" x14ac:dyDescent="0.2">
      <c r="C64" s="17" t="s">
        <v>245</v>
      </c>
      <c r="D64" s="17"/>
      <c r="E64" s="36">
        <v>-82.007000000000005</v>
      </c>
      <c r="F64" s="36">
        <v>-15.371</v>
      </c>
      <c r="G64" s="36">
        <v>-15.371</v>
      </c>
      <c r="H64" s="36">
        <v>-81.652000000000015</v>
      </c>
      <c r="I64" s="36">
        <v>-51.87</v>
      </c>
      <c r="J64" s="36">
        <v>-164.26400000000001</v>
      </c>
      <c r="K64" s="36">
        <v>-35.283999999999999</v>
      </c>
      <c r="L64" s="36">
        <v>-682.62900000000002</v>
      </c>
      <c r="M64" s="36">
        <v>-26.120999999999974</v>
      </c>
      <c r="N64" s="36">
        <v>-54.70600000000001</v>
      </c>
      <c r="O64" s="36">
        <v>-798.74</v>
      </c>
      <c r="P64" s="36">
        <v>-137.44900000000001</v>
      </c>
      <c r="Q64" s="36">
        <v>-55.406999999999982</v>
      </c>
      <c r="R64" s="36">
        <v>-130.82900000000001</v>
      </c>
      <c r="S64" s="34">
        <f>-382.05-R64-Q64-P64</f>
        <v>-58.365000000000009</v>
      </c>
      <c r="T64" s="34">
        <f t="shared" si="10"/>
        <v>-382.05</v>
      </c>
      <c r="U64" s="40">
        <v>-32</v>
      </c>
      <c r="V64" s="40">
        <f>+($Y$64-$U$64)/3</f>
        <v>-31.333333333333332</v>
      </c>
      <c r="W64" s="40">
        <f>+($Y$64-$U$64)/3</f>
        <v>-31.333333333333332</v>
      </c>
      <c r="X64" s="40">
        <f>+($Y$64-$U$64)/3</f>
        <v>-31.333333333333332</v>
      </c>
      <c r="Y64" s="40">
        <v>-126</v>
      </c>
      <c r="Z64" s="40"/>
      <c r="AA64" s="40"/>
      <c r="AB64" s="40"/>
      <c r="AC64" s="40"/>
      <c r="AD64" s="40"/>
      <c r="AI64" s="21"/>
      <c r="AJ64" s="21"/>
    </row>
    <row r="65" spans="3:36" s="20" customFormat="1" x14ac:dyDescent="0.2">
      <c r="C65" s="17" t="s">
        <v>246</v>
      </c>
      <c r="D65" s="17"/>
      <c r="E65" s="36">
        <v>0</v>
      </c>
      <c r="F65" s="36">
        <v>0</v>
      </c>
      <c r="G65" s="36">
        <v>0</v>
      </c>
      <c r="H65" s="36">
        <v>0</v>
      </c>
      <c r="I65" s="36">
        <v>447.08600000000001</v>
      </c>
      <c r="J65" s="36">
        <v>447.08600000000001</v>
      </c>
      <c r="K65" s="36">
        <v>20.401</v>
      </c>
      <c r="L65" s="36">
        <v>39.674999999999997</v>
      </c>
      <c r="M65" s="36">
        <v>28.715</v>
      </c>
      <c r="N65" s="36">
        <v>19.213999999999995</v>
      </c>
      <c r="O65" s="36">
        <v>108.005</v>
      </c>
      <c r="P65" s="36">
        <v>55.722000000000001</v>
      </c>
      <c r="Q65" s="36">
        <v>113.995</v>
      </c>
      <c r="R65" s="36">
        <v>0</v>
      </c>
      <c r="S65" s="34">
        <f>169.717-R65-Q65-P65</f>
        <v>0</v>
      </c>
      <c r="T65" s="34">
        <f t="shared" si="10"/>
        <v>169.71700000000001</v>
      </c>
      <c r="U65" s="40">
        <v>0</v>
      </c>
      <c r="V65" s="40">
        <v>0</v>
      </c>
      <c r="W65" s="40">
        <v>0</v>
      </c>
      <c r="X65" s="40">
        <v>0</v>
      </c>
      <c r="Y65" s="40">
        <v>0</v>
      </c>
      <c r="Z65" s="40"/>
      <c r="AA65" s="40"/>
      <c r="AB65" s="40"/>
      <c r="AC65" s="40"/>
      <c r="AD65" s="40"/>
      <c r="AI65" s="21"/>
      <c r="AJ65" s="21"/>
    </row>
    <row r="66" spans="3:36" s="20" customFormat="1" x14ac:dyDescent="0.2">
      <c r="C66" s="17" t="s">
        <v>247</v>
      </c>
      <c r="D66" s="17"/>
      <c r="E66" s="36">
        <v>0</v>
      </c>
      <c r="F66" s="36">
        <v>0</v>
      </c>
      <c r="G66" s="36">
        <v>0</v>
      </c>
      <c r="H66" s="36">
        <v>0</v>
      </c>
      <c r="I66" s="36">
        <v>-5.6779999999999999</v>
      </c>
      <c r="J66" s="36">
        <v>-5.6779999999999999</v>
      </c>
      <c r="K66" s="36">
        <v>-9.0850000000000009</v>
      </c>
      <c r="L66" s="36">
        <v>-9.7309999999999981</v>
      </c>
      <c r="M66" s="36">
        <v>-9.8240000000000016</v>
      </c>
      <c r="N66" s="36">
        <v>-10.600000000000001</v>
      </c>
      <c r="O66" s="36">
        <v>-39.24</v>
      </c>
      <c r="P66" s="36">
        <v>-34.619</v>
      </c>
      <c r="Q66" s="36">
        <v>-78.167000000000002</v>
      </c>
      <c r="R66" s="36">
        <v>-10.945999999999998</v>
      </c>
      <c r="S66" s="34">
        <f>-135.965-R66-Q66-P66</f>
        <v>-12.233000000000004</v>
      </c>
      <c r="T66" s="34">
        <f t="shared" si="10"/>
        <v>-135.965</v>
      </c>
      <c r="U66" s="40">
        <v>0</v>
      </c>
      <c r="V66" s="40">
        <v>0</v>
      </c>
      <c r="W66" s="40">
        <v>0</v>
      </c>
      <c r="X66" s="40">
        <v>0</v>
      </c>
      <c r="Y66" s="40">
        <f>+SUM(U66:X66)</f>
        <v>0</v>
      </c>
      <c r="Z66" s="40"/>
      <c r="AA66" s="40"/>
      <c r="AB66" s="40"/>
      <c r="AC66" s="40"/>
      <c r="AD66" s="40"/>
      <c r="AI66" s="21"/>
      <c r="AJ66" s="21"/>
    </row>
    <row r="67" spans="3:36" s="20" customFormat="1" x14ac:dyDescent="0.2">
      <c r="C67" s="17" t="s">
        <v>248</v>
      </c>
      <c r="D67" s="17"/>
      <c r="E67" s="36">
        <v>0</v>
      </c>
      <c r="F67" s="36">
        <v>0</v>
      </c>
      <c r="G67" s="36">
        <v>0</v>
      </c>
      <c r="H67" s="36">
        <v>40</v>
      </c>
      <c r="I67" s="36">
        <v>0</v>
      </c>
      <c r="J67" s="36">
        <v>40</v>
      </c>
      <c r="K67" s="36">
        <v>50</v>
      </c>
      <c r="L67" s="36">
        <v>-50</v>
      </c>
      <c r="M67" s="36">
        <v>0</v>
      </c>
      <c r="N67" s="36">
        <v>0</v>
      </c>
      <c r="O67" s="36">
        <v>0</v>
      </c>
      <c r="P67" s="36">
        <v>0</v>
      </c>
      <c r="Q67" s="36">
        <v>0</v>
      </c>
      <c r="R67" s="36">
        <v>50</v>
      </c>
      <c r="S67" s="34">
        <f>50-R67-Q67-P67</f>
        <v>0</v>
      </c>
      <c r="T67" s="34">
        <f t="shared" si="10"/>
        <v>50</v>
      </c>
      <c r="U67" s="40">
        <v>0</v>
      </c>
      <c r="V67" s="40">
        <v>0</v>
      </c>
      <c r="W67" s="40">
        <v>0</v>
      </c>
      <c r="X67" s="40">
        <v>0</v>
      </c>
      <c r="Y67" s="40">
        <v>0</v>
      </c>
      <c r="Z67" s="40"/>
      <c r="AA67" s="40"/>
      <c r="AB67" s="40"/>
      <c r="AC67" s="40"/>
      <c r="AD67" s="40"/>
      <c r="AI67" s="21"/>
      <c r="AJ67" s="21"/>
    </row>
    <row r="68" spans="3:36" s="20" customFormat="1" x14ac:dyDescent="0.2">
      <c r="C68" s="17" t="s">
        <v>249</v>
      </c>
      <c r="D68" s="17"/>
      <c r="E68" s="36">
        <v>0</v>
      </c>
      <c r="F68" s="36">
        <v>0</v>
      </c>
      <c r="G68" s="36">
        <v>0</v>
      </c>
      <c r="H68" s="36">
        <v>-54.246000000000002</v>
      </c>
      <c r="I68" s="36">
        <v>-105.672</v>
      </c>
      <c r="J68" s="36">
        <v>-159.91800000000001</v>
      </c>
      <c r="K68" s="36">
        <v>0</v>
      </c>
      <c r="L68" s="36">
        <v>0</v>
      </c>
      <c r="M68" s="36">
        <v>0</v>
      </c>
      <c r="N68" s="36">
        <v>0</v>
      </c>
      <c r="O68" s="36">
        <v>0</v>
      </c>
      <c r="P68" s="36">
        <v>0</v>
      </c>
      <c r="Q68" s="36">
        <v>0</v>
      </c>
      <c r="R68" s="36">
        <v>0</v>
      </c>
      <c r="S68" s="34">
        <f>-50-R68-Q68-P68</f>
        <v>-50</v>
      </c>
      <c r="T68" s="34">
        <f t="shared" si="10"/>
        <v>-50</v>
      </c>
      <c r="U68" s="40">
        <v>0</v>
      </c>
      <c r="V68" s="40">
        <v>0</v>
      </c>
      <c r="W68" s="40">
        <v>0</v>
      </c>
      <c r="X68" s="40">
        <v>0</v>
      </c>
      <c r="Y68" s="40">
        <v>0</v>
      </c>
      <c r="Z68" s="40"/>
      <c r="AA68" s="40"/>
      <c r="AB68" s="40"/>
      <c r="AC68" s="40"/>
      <c r="AD68" s="40"/>
      <c r="AI68" s="21"/>
      <c r="AJ68" s="21"/>
    </row>
    <row r="69" spans="3:36" s="20" customFormat="1" x14ac:dyDescent="0.2">
      <c r="C69" s="17" t="s">
        <v>250</v>
      </c>
      <c r="D69" s="17"/>
      <c r="E69" s="36">
        <v>-2.681</v>
      </c>
      <c r="F69" s="36">
        <v>-1.3120000000000001</v>
      </c>
      <c r="G69" s="36">
        <v>-1.3110000000000002</v>
      </c>
      <c r="H69" s="36">
        <v>-1.3539999999999994</v>
      </c>
      <c r="I69" s="36">
        <v>-11.72</v>
      </c>
      <c r="J69" s="36">
        <v>-15.696999999999999</v>
      </c>
      <c r="K69" s="36">
        <v>0</v>
      </c>
      <c r="L69" s="36">
        <v>0</v>
      </c>
      <c r="M69" s="36">
        <v>0</v>
      </c>
      <c r="N69" s="36">
        <v>0</v>
      </c>
      <c r="O69" s="36">
        <v>0</v>
      </c>
      <c r="P69" s="36">
        <v>0</v>
      </c>
      <c r="Q69" s="36">
        <v>0</v>
      </c>
      <c r="R69" s="36">
        <v>0</v>
      </c>
      <c r="S69" s="34"/>
      <c r="T69" s="34">
        <f t="shared" si="10"/>
        <v>0</v>
      </c>
      <c r="U69" s="40">
        <v>0</v>
      </c>
      <c r="V69" s="40">
        <v>0</v>
      </c>
      <c r="W69" s="40">
        <v>0</v>
      </c>
      <c r="X69" s="40">
        <v>0</v>
      </c>
      <c r="Y69" s="40">
        <v>0</v>
      </c>
      <c r="Z69" s="40"/>
      <c r="AA69" s="40"/>
      <c r="AB69" s="40"/>
      <c r="AC69" s="40"/>
      <c r="AD69" s="40"/>
      <c r="AI69" s="21"/>
      <c r="AJ69" s="21"/>
    </row>
    <row r="70" spans="3:36" s="20" customFormat="1" x14ac:dyDescent="0.2">
      <c r="C70" s="17" t="s">
        <v>251</v>
      </c>
      <c r="D70" s="17"/>
      <c r="E70" s="36">
        <v>0</v>
      </c>
      <c r="F70" s="36">
        <v>0</v>
      </c>
      <c r="G70" s="36">
        <v>-0.71699999999999997</v>
      </c>
      <c r="H70" s="36">
        <v>0.71699999999999997</v>
      </c>
      <c r="I70" s="36">
        <v>0</v>
      </c>
      <c r="J70" s="36">
        <v>0</v>
      </c>
      <c r="K70" s="36">
        <v>0</v>
      </c>
      <c r="L70" s="36">
        <v>0</v>
      </c>
      <c r="M70" s="36">
        <v>0</v>
      </c>
      <c r="N70" s="36">
        <v>0</v>
      </c>
      <c r="O70" s="36">
        <v>0</v>
      </c>
      <c r="P70" s="36">
        <v>0</v>
      </c>
      <c r="Q70" s="36">
        <v>0</v>
      </c>
      <c r="R70" s="36">
        <v>0</v>
      </c>
      <c r="S70" s="34"/>
      <c r="T70" s="34">
        <f t="shared" si="10"/>
        <v>0</v>
      </c>
      <c r="U70" s="40">
        <v>0</v>
      </c>
      <c r="V70" s="40">
        <v>0</v>
      </c>
      <c r="W70" s="40">
        <v>0</v>
      </c>
      <c r="X70" s="40">
        <v>0</v>
      </c>
      <c r="Y70" s="40">
        <v>0</v>
      </c>
      <c r="Z70" s="40"/>
      <c r="AA70" s="40"/>
      <c r="AB70" s="40"/>
      <c r="AC70" s="40"/>
      <c r="AD70" s="40"/>
      <c r="AI70" s="21"/>
      <c r="AJ70" s="21"/>
    </row>
    <row r="71" spans="3:36" s="20" customFormat="1" x14ac:dyDescent="0.2">
      <c r="C71" s="17" t="s">
        <v>252</v>
      </c>
      <c r="D71" s="17"/>
      <c r="E71" s="36">
        <v>0</v>
      </c>
      <c r="F71" s="36">
        <v>0</v>
      </c>
      <c r="G71" s="36">
        <v>0</v>
      </c>
      <c r="H71" s="36">
        <v>0</v>
      </c>
      <c r="I71" s="36">
        <v>0</v>
      </c>
      <c r="J71" s="36">
        <v>0</v>
      </c>
      <c r="K71" s="36">
        <v>0</v>
      </c>
      <c r="L71" s="36">
        <v>-0.55600000000000005</v>
      </c>
      <c r="M71" s="36">
        <v>-0.22599999999999998</v>
      </c>
      <c r="N71" s="36">
        <v>0.78200000000000003</v>
      </c>
      <c r="O71" s="36">
        <v>0</v>
      </c>
      <c r="P71" s="36">
        <v>-0.51400000000000001</v>
      </c>
      <c r="Q71" s="36">
        <v>-0.6319999999999999</v>
      </c>
      <c r="R71" s="36">
        <v>-1.8599999999999997</v>
      </c>
      <c r="S71" s="34">
        <f>-3.577-R71-Q71-P71</f>
        <v>-0.5710000000000004</v>
      </c>
      <c r="T71" s="34">
        <f t="shared" si="10"/>
        <v>-3.577</v>
      </c>
      <c r="U71" s="40">
        <v>0</v>
      </c>
      <c r="V71" s="40">
        <v>0</v>
      </c>
      <c r="W71" s="40">
        <v>0</v>
      </c>
      <c r="X71" s="40">
        <v>0</v>
      </c>
      <c r="Y71" s="40">
        <v>0</v>
      </c>
      <c r="Z71" s="40"/>
      <c r="AA71" s="40"/>
      <c r="AB71" s="40"/>
      <c r="AC71" s="40"/>
      <c r="AD71" s="40"/>
      <c r="AI71" s="21"/>
      <c r="AJ71" s="21"/>
    </row>
    <row r="72" spans="3:36" s="20" customFormat="1" x14ac:dyDescent="0.2">
      <c r="C72" s="17" t="s">
        <v>253</v>
      </c>
      <c r="D72" s="17"/>
      <c r="E72" s="36">
        <v>-6.77</v>
      </c>
      <c r="F72" s="36">
        <v>-1.681</v>
      </c>
      <c r="G72" s="36">
        <v>-1.6880000000000002</v>
      </c>
      <c r="H72" s="36">
        <v>-34.551000000000002</v>
      </c>
      <c r="I72" s="36">
        <v>-3.0189999999999975</v>
      </c>
      <c r="J72" s="36">
        <v>-40.939</v>
      </c>
      <c r="K72" s="36">
        <v>-2.98</v>
      </c>
      <c r="L72" s="36">
        <v>-5.9610000000000003</v>
      </c>
      <c r="M72" s="36">
        <v>-5.8889999999999993</v>
      </c>
      <c r="N72" s="36">
        <v>-55.011000000000003</v>
      </c>
      <c r="O72" s="36">
        <v>-69.841000000000008</v>
      </c>
      <c r="P72" s="36">
        <v>-98.313000000000002</v>
      </c>
      <c r="Q72" s="36">
        <v>-79.251999999999995</v>
      </c>
      <c r="R72" s="36">
        <v>-69.436000000000021</v>
      </c>
      <c r="S72" s="34">
        <f>-308.154-R72-Q72-P72</f>
        <v>-61.152999999999949</v>
      </c>
      <c r="T72" s="34">
        <f t="shared" si="10"/>
        <v>-308.154</v>
      </c>
      <c r="U72" s="40">
        <f>-0.5*U28</f>
        <v>-54.961529999999996</v>
      </c>
      <c r="V72" s="40">
        <f>-0.5*V28</f>
        <v>-78.139251169584441</v>
      </c>
      <c r="W72" s="40">
        <f>-0.5*W28</f>
        <v>-47.762931921717644</v>
      </c>
      <c r="X72" s="40">
        <f>-0.5*X28</f>
        <v>-97.541740718740243</v>
      </c>
      <c r="Y72" s="40">
        <f>-0.5*Y28</f>
        <v>-278.40545381004245</v>
      </c>
      <c r="Z72" s="40"/>
      <c r="AA72" s="40"/>
      <c r="AB72" s="40"/>
      <c r="AC72" s="40"/>
      <c r="AD72" s="40"/>
      <c r="AI72" s="21"/>
      <c r="AJ72" s="21"/>
    </row>
    <row r="73" spans="3:36" s="20" customFormat="1" x14ac:dyDescent="0.2">
      <c r="C73" s="17" t="s">
        <v>254</v>
      </c>
      <c r="D73" s="17"/>
      <c r="E73" s="36">
        <v>-29.997</v>
      </c>
      <c r="F73" s="36">
        <v>0</v>
      </c>
      <c r="G73" s="36">
        <v>0</v>
      </c>
      <c r="H73" s="36">
        <v>0</v>
      </c>
      <c r="I73" s="36">
        <v>-16.66</v>
      </c>
      <c r="J73" s="36">
        <v>-16.66</v>
      </c>
      <c r="K73" s="36">
        <v>0</v>
      </c>
      <c r="L73" s="36">
        <v>0</v>
      </c>
      <c r="M73" s="36">
        <v>-20.016999999999999</v>
      </c>
      <c r="N73" s="36">
        <v>0</v>
      </c>
      <c r="O73" s="36">
        <v>-20.016999999999999</v>
      </c>
      <c r="P73" s="36">
        <v>0</v>
      </c>
      <c r="Q73" s="36">
        <v>-13.948</v>
      </c>
      <c r="R73" s="36">
        <v>0</v>
      </c>
      <c r="S73" s="34">
        <f>-13.948-R73-Q73-P73</f>
        <v>0</v>
      </c>
      <c r="T73" s="34">
        <f t="shared" si="10"/>
        <v>-13.948</v>
      </c>
      <c r="U73" s="40">
        <v>0</v>
      </c>
      <c r="V73" s="40">
        <v>0</v>
      </c>
      <c r="W73" s="40">
        <v>0</v>
      </c>
      <c r="X73" s="40">
        <v>0</v>
      </c>
      <c r="Y73" s="40">
        <v>0</v>
      </c>
      <c r="Z73" s="40"/>
      <c r="AA73" s="40"/>
      <c r="AB73" s="40"/>
      <c r="AC73" s="40"/>
      <c r="AD73" s="40"/>
      <c r="AI73" s="21"/>
      <c r="AJ73" s="21"/>
    </row>
    <row r="74" spans="3:36" s="20" customFormat="1" x14ac:dyDescent="0.2">
      <c r="C74" s="17" t="s">
        <v>255</v>
      </c>
      <c r="D74" s="17"/>
      <c r="E74" s="36">
        <v>0</v>
      </c>
      <c r="F74" s="36">
        <v>0</v>
      </c>
      <c r="G74" s="36">
        <v>0</v>
      </c>
      <c r="H74" s="36">
        <v>0</v>
      </c>
      <c r="I74" s="36">
        <v>-5.266</v>
      </c>
      <c r="J74" s="36">
        <v>-5.266</v>
      </c>
      <c r="K74" s="36">
        <v>0</v>
      </c>
      <c r="L74" s="36">
        <v>0</v>
      </c>
      <c r="M74" s="36">
        <v>0</v>
      </c>
      <c r="N74" s="36">
        <v>0</v>
      </c>
      <c r="O74" s="36">
        <v>0</v>
      </c>
      <c r="P74" s="36">
        <v>0</v>
      </c>
      <c r="Q74" s="36">
        <v>0</v>
      </c>
      <c r="R74" s="36">
        <v>0</v>
      </c>
      <c r="S74" s="34">
        <v>0</v>
      </c>
      <c r="T74" s="34">
        <f t="shared" si="10"/>
        <v>0</v>
      </c>
      <c r="U74" s="40">
        <v>0</v>
      </c>
      <c r="V74" s="40">
        <v>0</v>
      </c>
      <c r="W74" s="40">
        <v>0</v>
      </c>
      <c r="X74" s="40">
        <v>0</v>
      </c>
      <c r="Y74" s="40">
        <v>0</v>
      </c>
      <c r="Z74" s="40"/>
      <c r="AA74" s="40"/>
      <c r="AB74" s="40"/>
      <c r="AC74" s="40"/>
      <c r="AD74" s="40"/>
      <c r="AI74" s="21"/>
      <c r="AJ74" s="21"/>
    </row>
    <row r="75" spans="3:36" s="20" customFormat="1" x14ac:dyDescent="0.2">
      <c r="C75" s="17" t="s">
        <v>256</v>
      </c>
      <c r="D75" s="17"/>
      <c r="E75" s="36">
        <v>-1.5409999999999999</v>
      </c>
      <c r="F75" s="36">
        <v>-0.48899999999999999</v>
      </c>
      <c r="G75" s="36">
        <v>-0.54100000000000004</v>
      </c>
      <c r="H75" s="36">
        <v>-9.4999999999999973E-2</v>
      </c>
      <c r="I75" s="36">
        <v>0</v>
      </c>
      <c r="J75" s="36">
        <v>-1.125</v>
      </c>
      <c r="K75" s="36">
        <v>-0.97</v>
      </c>
      <c r="L75" s="36">
        <v>-0.52300000000000013</v>
      </c>
      <c r="M75" s="36">
        <v>-1.6809999999999998</v>
      </c>
      <c r="N75" s="36">
        <v>-2.923</v>
      </c>
      <c r="O75" s="36">
        <v>-6.0969999999999995</v>
      </c>
      <c r="P75" s="36">
        <v>-2.6190000000000002</v>
      </c>
      <c r="Q75" s="36">
        <v>-2.39</v>
      </c>
      <c r="R75" s="36">
        <v>-0.14900000000000002</v>
      </c>
      <c r="S75" s="34">
        <f>-5.819-R75-Q75-P75</f>
        <v>-0.66099999999999959</v>
      </c>
      <c r="T75" s="34">
        <f t="shared" si="10"/>
        <v>-5.819</v>
      </c>
      <c r="U75" s="40">
        <v>0</v>
      </c>
      <c r="V75" s="40">
        <v>0</v>
      </c>
      <c r="W75" s="40">
        <v>0</v>
      </c>
      <c r="X75" s="40">
        <v>0</v>
      </c>
      <c r="Y75" s="40">
        <v>0</v>
      </c>
      <c r="Z75" s="40"/>
      <c r="AA75" s="40"/>
      <c r="AB75" s="40"/>
      <c r="AC75" s="40"/>
      <c r="AD75" s="40"/>
      <c r="AI75" s="21"/>
      <c r="AJ75" s="21"/>
    </row>
    <row r="76" spans="3:36" s="20" customFormat="1" x14ac:dyDescent="0.2">
      <c r="C76" s="17" t="s">
        <v>226</v>
      </c>
      <c r="D76" s="17"/>
      <c r="E76" s="36">
        <v>-0.16300000000000001</v>
      </c>
      <c r="F76" s="36">
        <v>0</v>
      </c>
      <c r="G76" s="36">
        <v>0</v>
      </c>
      <c r="H76" s="36">
        <v>0</v>
      </c>
      <c r="I76" s="36">
        <v>0</v>
      </c>
      <c r="J76" s="36">
        <v>0</v>
      </c>
      <c r="K76" s="36">
        <v>0</v>
      </c>
      <c r="L76" s="36">
        <v>0</v>
      </c>
      <c r="M76" s="36">
        <v>0</v>
      </c>
      <c r="N76" s="36">
        <v>0</v>
      </c>
      <c r="O76" s="36">
        <v>0</v>
      </c>
      <c r="P76" s="36">
        <v>0</v>
      </c>
      <c r="Q76" s="36">
        <v>0</v>
      </c>
      <c r="R76" s="36">
        <v>0</v>
      </c>
      <c r="S76" s="34">
        <v>0</v>
      </c>
      <c r="T76" s="34">
        <f t="shared" si="10"/>
        <v>0</v>
      </c>
      <c r="U76" s="40">
        <v>0</v>
      </c>
      <c r="V76" s="40">
        <v>0</v>
      </c>
      <c r="W76" s="40">
        <v>0</v>
      </c>
      <c r="X76" s="40">
        <v>0</v>
      </c>
      <c r="Y76" s="40">
        <v>0</v>
      </c>
      <c r="Z76" s="40"/>
      <c r="AA76" s="40"/>
      <c r="AB76" s="40"/>
      <c r="AC76" s="40"/>
      <c r="AD76" s="40"/>
      <c r="AI76" s="21"/>
      <c r="AJ76" s="21"/>
    </row>
    <row r="77" spans="3:36" s="20" customFormat="1" x14ac:dyDescent="0.2">
      <c r="C77" s="32" t="s">
        <v>140</v>
      </c>
      <c r="D77" s="32"/>
      <c r="E77" s="33">
        <f t="shared" ref="E77:AD77" si="11">SUM(E61:E76)</f>
        <v>-183.07400000000007</v>
      </c>
      <c r="F77" s="33">
        <f t="shared" si="11"/>
        <v>-18.853000000000002</v>
      </c>
      <c r="G77" s="33">
        <f t="shared" si="11"/>
        <v>-19.677</v>
      </c>
      <c r="H77" s="33">
        <f t="shared" si="11"/>
        <v>-111.66300000000003</v>
      </c>
      <c r="I77" s="33">
        <f t="shared" si="11"/>
        <v>-23.646999999999998</v>
      </c>
      <c r="J77" s="33">
        <f t="shared" si="11"/>
        <v>-173.84</v>
      </c>
      <c r="K77" s="33">
        <f t="shared" si="11"/>
        <v>11.101000000000001</v>
      </c>
      <c r="L77" s="33">
        <f t="shared" si="11"/>
        <v>-57.694000000000067</v>
      </c>
      <c r="M77" s="33">
        <f t="shared" si="11"/>
        <v>-35.042999999999971</v>
      </c>
      <c r="N77" s="33">
        <f t="shared" si="11"/>
        <v>-104.15300000000002</v>
      </c>
      <c r="O77" s="33">
        <f t="shared" si="11"/>
        <v>-185.78900000000007</v>
      </c>
      <c r="P77" s="33">
        <f t="shared" si="11"/>
        <v>-217.792</v>
      </c>
      <c r="Q77" s="33">
        <f t="shared" si="11"/>
        <v>-115.80099999999997</v>
      </c>
      <c r="R77" s="33">
        <f t="shared" si="11"/>
        <v>-164.54300000000003</v>
      </c>
      <c r="S77" s="33">
        <f t="shared" si="11"/>
        <v>-182.98299999999995</v>
      </c>
      <c r="T77" s="33">
        <f t="shared" si="11"/>
        <v>-681.11899999999991</v>
      </c>
      <c r="U77" s="33">
        <f t="shared" si="11"/>
        <v>-86.961529999999996</v>
      </c>
      <c r="V77" s="33">
        <f t="shared" si="11"/>
        <v>-109.47258450291777</v>
      </c>
      <c r="W77" s="33">
        <f t="shared" si="11"/>
        <v>-79.09626525505098</v>
      </c>
      <c r="X77" s="33">
        <f t="shared" si="11"/>
        <v>-128.87507405207359</v>
      </c>
      <c r="Y77" s="33">
        <f t="shared" si="11"/>
        <v>-404.40545381004245</v>
      </c>
      <c r="Z77" s="33">
        <f t="shared" si="11"/>
        <v>0</v>
      </c>
      <c r="AA77" s="33">
        <f t="shared" si="11"/>
        <v>0</v>
      </c>
      <c r="AB77" s="33">
        <f t="shared" si="11"/>
        <v>0</v>
      </c>
      <c r="AC77" s="33">
        <f t="shared" si="11"/>
        <v>0</v>
      </c>
      <c r="AD77" s="33">
        <f t="shared" si="11"/>
        <v>0</v>
      </c>
      <c r="AI77" s="21"/>
      <c r="AJ77" s="21"/>
    </row>
    <row r="78" spans="3:36" s="20" customFormat="1" ht="5.0999999999999996" customHeight="1" x14ac:dyDescent="0.2">
      <c r="C78" s="17"/>
      <c r="D78" s="1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I78" s="21"/>
      <c r="AJ78" s="21"/>
    </row>
    <row r="79" spans="3:36" s="20" customFormat="1" x14ac:dyDescent="0.2">
      <c r="C79" s="32" t="s">
        <v>141</v>
      </c>
      <c r="D79" s="32"/>
      <c r="E79" s="33">
        <f t="shared" ref="E79:AD79" si="12">+E77+E59+E48</f>
        <v>65.433999999999969</v>
      </c>
      <c r="F79" s="33">
        <f t="shared" si="12"/>
        <v>-43.27600000000001</v>
      </c>
      <c r="G79" s="33">
        <f t="shared" si="12"/>
        <v>-38.837000000000018</v>
      </c>
      <c r="H79" s="33">
        <f t="shared" si="12"/>
        <v>-0.97300000000000963</v>
      </c>
      <c r="I79" s="33">
        <f t="shared" si="12"/>
        <v>-33.658000000000015</v>
      </c>
      <c r="J79" s="33">
        <f t="shared" si="12"/>
        <v>-116.744</v>
      </c>
      <c r="K79" s="33">
        <f t="shared" si="12"/>
        <v>-23.328999999999994</v>
      </c>
      <c r="L79" s="33">
        <f t="shared" si="12"/>
        <v>156.11599999999987</v>
      </c>
      <c r="M79" s="33">
        <f t="shared" si="12"/>
        <v>-56.194999999999936</v>
      </c>
      <c r="N79" s="33">
        <f t="shared" si="12"/>
        <v>68.21899999999998</v>
      </c>
      <c r="O79" s="33">
        <f t="shared" si="12"/>
        <v>144.81099999999986</v>
      </c>
      <c r="P79" s="33">
        <f t="shared" si="12"/>
        <v>-69.19500000000005</v>
      </c>
      <c r="Q79" s="33">
        <f t="shared" si="12"/>
        <v>-58.52600000000001</v>
      </c>
      <c r="R79" s="33">
        <f t="shared" si="12"/>
        <v>22.952999999999975</v>
      </c>
      <c r="S79" s="33">
        <f t="shared" si="12"/>
        <v>-12.215999999999951</v>
      </c>
      <c r="T79" s="33">
        <f t="shared" si="12"/>
        <v>-116.98399999999992</v>
      </c>
      <c r="U79" s="33">
        <f t="shared" si="12"/>
        <v>37.961529999999996</v>
      </c>
      <c r="V79" s="33">
        <f t="shared" si="12"/>
        <v>69.639251169584455</v>
      </c>
      <c r="W79" s="33">
        <f t="shared" si="12"/>
        <v>39.262931921717637</v>
      </c>
      <c r="X79" s="33">
        <f t="shared" si="12"/>
        <v>89.041740718740243</v>
      </c>
      <c r="Y79" s="33">
        <f t="shared" si="12"/>
        <v>235.90545381004245</v>
      </c>
      <c r="Z79" s="33">
        <f t="shared" si="12"/>
        <v>289.49223445684947</v>
      </c>
      <c r="AA79" s="33">
        <f t="shared" si="12"/>
        <v>264.15463720684932</v>
      </c>
      <c r="AB79" s="33">
        <f t="shared" si="12"/>
        <v>248.2152911568493</v>
      </c>
      <c r="AC79" s="33">
        <f t="shared" si="12"/>
        <v>357.85489945684947</v>
      </c>
      <c r="AD79" s="33">
        <f t="shared" si="12"/>
        <v>1159.7170622773974</v>
      </c>
      <c r="AI79" s="21"/>
      <c r="AJ79" s="21"/>
    </row>
    <row r="80" spans="3:36" s="20" customFormat="1" x14ac:dyDescent="0.2">
      <c r="C80" s="17" t="s">
        <v>142</v>
      </c>
      <c r="D80" s="17"/>
      <c r="E80" s="34">
        <v>0</v>
      </c>
      <c r="F80" s="34">
        <v>0</v>
      </c>
      <c r="G80" s="34">
        <v>0</v>
      </c>
      <c r="H80" s="34">
        <v>0</v>
      </c>
      <c r="I80" s="34">
        <v>0</v>
      </c>
      <c r="J80" s="34">
        <v>0</v>
      </c>
      <c r="K80" s="34">
        <v>0</v>
      </c>
      <c r="L80" s="34">
        <v>0</v>
      </c>
      <c r="M80" s="34">
        <v>0</v>
      </c>
      <c r="N80" s="34">
        <v>0</v>
      </c>
      <c r="O80" s="34">
        <v>0</v>
      </c>
      <c r="P80" s="34">
        <v>0</v>
      </c>
      <c r="Q80" s="34">
        <v>0</v>
      </c>
      <c r="R80" s="34">
        <v>0</v>
      </c>
      <c r="AI80" s="21"/>
      <c r="AJ80" s="21"/>
    </row>
    <row r="81" spans="3:36" s="20" customFormat="1" x14ac:dyDescent="0.2">
      <c r="C81" s="17" t="s">
        <v>143</v>
      </c>
      <c r="D81" s="17"/>
      <c r="E81" s="34">
        <v>150.24299999999999</v>
      </c>
      <c r="F81" s="39">
        <f t="shared" ref="F81:AC81" si="13">+E82</f>
        <v>215.67699999999996</v>
      </c>
      <c r="G81" s="39">
        <f t="shared" si="13"/>
        <v>172.40099999999995</v>
      </c>
      <c r="H81" s="39">
        <f t="shared" si="13"/>
        <v>133.56399999999994</v>
      </c>
      <c r="I81" s="39">
        <f t="shared" si="13"/>
        <v>132.59099999999992</v>
      </c>
      <c r="J81" s="39">
        <f>+E82</f>
        <v>215.67699999999996</v>
      </c>
      <c r="K81" s="39">
        <f t="shared" si="13"/>
        <v>98.932999999999964</v>
      </c>
      <c r="L81" s="39">
        <f t="shared" si="13"/>
        <v>75.603999999999971</v>
      </c>
      <c r="M81" s="39">
        <f t="shared" si="13"/>
        <v>231.71999999999986</v>
      </c>
      <c r="N81" s="39">
        <f t="shared" si="13"/>
        <v>175.52499999999992</v>
      </c>
      <c r="O81" s="39">
        <f>+J82</f>
        <v>98.932999999999964</v>
      </c>
      <c r="P81" s="39">
        <f t="shared" si="13"/>
        <v>243.74399999999983</v>
      </c>
      <c r="Q81" s="39">
        <f t="shared" si="13"/>
        <v>174.54899999999978</v>
      </c>
      <c r="R81" s="39">
        <f t="shared" si="13"/>
        <v>116.02299999999977</v>
      </c>
      <c r="S81" s="39">
        <f t="shared" si="13"/>
        <v>138.97599999999974</v>
      </c>
      <c r="T81" s="39">
        <f>+O82</f>
        <v>243.74399999999983</v>
      </c>
      <c r="U81" s="39">
        <f t="shared" si="13"/>
        <v>126.75999999999991</v>
      </c>
      <c r="V81" s="39">
        <f t="shared" si="13"/>
        <v>164.72152999999992</v>
      </c>
      <c r="W81" s="39">
        <f t="shared" si="13"/>
        <v>234.36078116958436</v>
      </c>
      <c r="X81" s="39">
        <f t="shared" si="13"/>
        <v>273.62371309130197</v>
      </c>
      <c r="Y81" s="39">
        <f>+T82</f>
        <v>126.75999999999991</v>
      </c>
      <c r="Z81" s="39">
        <f t="shared" si="13"/>
        <v>362.66545381004232</v>
      </c>
      <c r="AA81" s="39">
        <f t="shared" si="13"/>
        <v>652.1576882668918</v>
      </c>
      <c r="AB81" s="39">
        <f t="shared" si="13"/>
        <v>916.31232547374111</v>
      </c>
      <c r="AC81" s="39">
        <f t="shared" si="13"/>
        <v>1164.5276166305905</v>
      </c>
      <c r="AD81" s="39">
        <f>+Y82</f>
        <v>362.66545381004232</v>
      </c>
      <c r="AI81" s="21"/>
      <c r="AJ81" s="21"/>
    </row>
    <row r="82" spans="3:36" s="20" customFormat="1" x14ac:dyDescent="0.2">
      <c r="C82" s="32" t="s">
        <v>144</v>
      </c>
      <c r="D82" s="32"/>
      <c r="E82" s="33">
        <f>+E79+E80+E81</f>
        <v>215.67699999999996</v>
      </c>
      <c r="F82" s="33">
        <f t="shared" ref="F82:AD82" si="14">+F79+F80+F81</f>
        <v>172.40099999999995</v>
      </c>
      <c r="G82" s="33">
        <f t="shared" si="14"/>
        <v>133.56399999999994</v>
      </c>
      <c r="H82" s="33">
        <f t="shared" si="14"/>
        <v>132.59099999999992</v>
      </c>
      <c r="I82" s="33">
        <f t="shared" si="14"/>
        <v>98.932999999999907</v>
      </c>
      <c r="J82" s="33">
        <f t="shared" si="14"/>
        <v>98.932999999999964</v>
      </c>
      <c r="K82" s="33">
        <f t="shared" si="14"/>
        <v>75.603999999999971</v>
      </c>
      <c r="L82" s="33">
        <f t="shared" si="14"/>
        <v>231.71999999999986</v>
      </c>
      <c r="M82" s="33">
        <f t="shared" si="14"/>
        <v>175.52499999999992</v>
      </c>
      <c r="N82" s="33">
        <f t="shared" si="14"/>
        <v>243.74399999999991</v>
      </c>
      <c r="O82" s="33">
        <f t="shared" si="14"/>
        <v>243.74399999999983</v>
      </c>
      <c r="P82" s="33">
        <f t="shared" si="14"/>
        <v>174.54899999999978</v>
      </c>
      <c r="Q82" s="33">
        <f t="shared" si="14"/>
        <v>116.02299999999977</v>
      </c>
      <c r="R82" s="33">
        <f t="shared" si="14"/>
        <v>138.97599999999974</v>
      </c>
      <c r="S82" s="33">
        <f t="shared" si="14"/>
        <v>126.75999999999979</v>
      </c>
      <c r="T82" s="33">
        <f t="shared" si="14"/>
        <v>126.75999999999991</v>
      </c>
      <c r="U82" s="33">
        <f t="shared" si="14"/>
        <v>164.72152999999992</v>
      </c>
      <c r="V82" s="33">
        <f t="shared" si="14"/>
        <v>234.36078116958436</v>
      </c>
      <c r="W82" s="33">
        <f t="shared" si="14"/>
        <v>273.62371309130197</v>
      </c>
      <c r="X82" s="33">
        <f t="shared" si="14"/>
        <v>362.66545381004221</v>
      </c>
      <c r="Y82" s="33">
        <f t="shared" si="14"/>
        <v>362.66545381004232</v>
      </c>
      <c r="Z82" s="33">
        <f t="shared" si="14"/>
        <v>652.1576882668918</v>
      </c>
      <c r="AA82" s="33">
        <f t="shared" si="14"/>
        <v>916.31232547374111</v>
      </c>
      <c r="AB82" s="33">
        <f t="shared" si="14"/>
        <v>1164.5276166305905</v>
      </c>
      <c r="AC82" s="33">
        <f t="shared" si="14"/>
        <v>1522.3825160874399</v>
      </c>
      <c r="AD82" s="33">
        <f t="shared" si="14"/>
        <v>1522.3825160874399</v>
      </c>
      <c r="AI82" s="21"/>
      <c r="AJ82" s="21"/>
    </row>
    <row r="83" spans="3:36" s="20" customFormat="1" x14ac:dyDescent="0.2">
      <c r="C83" s="17"/>
      <c r="D83" s="17"/>
      <c r="E83" s="37"/>
      <c r="F83" s="37"/>
      <c r="G83" s="37"/>
      <c r="H83" s="37"/>
      <c r="I83" s="37"/>
      <c r="J83" s="37"/>
      <c r="K83" s="37"/>
      <c r="L83" s="37"/>
      <c r="M83" s="37"/>
      <c r="N83" s="37"/>
      <c r="O83" s="37"/>
      <c r="P83" s="37"/>
      <c r="Q83" s="37"/>
      <c r="R83" s="37"/>
      <c r="AI83" s="21"/>
      <c r="AJ83" s="21"/>
    </row>
    <row r="84" spans="3:36" s="20" customFormat="1" x14ac:dyDescent="0.2">
      <c r="C84" s="30" t="s">
        <v>145</v>
      </c>
      <c r="D84" s="30"/>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I84" s="21"/>
      <c r="AJ84" s="21"/>
    </row>
    <row r="85" spans="3:36" s="20" customFormat="1" x14ac:dyDescent="0.2">
      <c r="C85" s="17" t="s">
        <v>257</v>
      </c>
      <c r="D85" s="17"/>
      <c r="E85" s="36">
        <v>16.286999999999999</v>
      </c>
      <c r="F85" s="36">
        <v>16.222999999999999</v>
      </c>
      <c r="G85" s="36">
        <v>16.172999999999998</v>
      </c>
      <c r="H85" s="36">
        <v>17.177</v>
      </c>
      <c r="I85" s="36">
        <v>1.05</v>
      </c>
      <c r="J85" s="36">
        <v>1.05</v>
      </c>
      <c r="K85" s="36">
        <v>1.0509999999999999</v>
      </c>
      <c r="L85" s="36">
        <v>1.054</v>
      </c>
      <c r="M85" s="36">
        <v>1.06</v>
      </c>
      <c r="N85" s="36">
        <v>0</v>
      </c>
      <c r="O85" s="36">
        <v>0</v>
      </c>
      <c r="P85" s="36">
        <v>18.329000000000001</v>
      </c>
      <c r="Q85" s="36">
        <v>0</v>
      </c>
      <c r="R85" s="36">
        <v>0</v>
      </c>
      <c r="S85" s="34">
        <v>0</v>
      </c>
      <c r="T85" s="34">
        <v>0</v>
      </c>
      <c r="U85" s="130">
        <f>+T85</f>
        <v>0</v>
      </c>
      <c r="V85" s="130">
        <f>+U85</f>
        <v>0</v>
      </c>
      <c r="W85" s="130">
        <f>+V85</f>
        <v>0</v>
      </c>
      <c r="X85" s="130">
        <f>+W85</f>
        <v>0</v>
      </c>
      <c r="Y85" s="40">
        <f>+X85</f>
        <v>0</v>
      </c>
      <c r="Z85" s="40"/>
      <c r="AA85" s="40"/>
      <c r="AB85" s="40"/>
      <c r="AC85" s="40"/>
      <c r="AD85" s="40"/>
      <c r="AI85" s="21"/>
      <c r="AJ85" s="21"/>
    </row>
    <row r="86" spans="3:36" s="20" customFormat="1" x14ac:dyDescent="0.2">
      <c r="C86" s="17" t="s">
        <v>258</v>
      </c>
      <c r="D86" s="17"/>
      <c r="E86" s="36">
        <v>1108.2139999999999</v>
      </c>
      <c r="F86" s="36">
        <v>1097.8530000000001</v>
      </c>
      <c r="G86" s="36">
        <v>1055.7470000000001</v>
      </c>
      <c r="H86" s="36">
        <v>1908.9280000000001</v>
      </c>
      <c r="I86" s="36">
        <v>1802.85</v>
      </c>
      <c r="J86" s="36">
        <v>1802.85</v>
      </c>
      <c r="K86" s="36">
        <v>1773.2639999999999</v>
      </c>
      <c r="L86" s="36">
        <v>1723.742</v>
      </c>
      <c r="M86" s="36">
        <v>1707.7750000000001</v>
      </c>
      <c r="N86" s="36">
        <v>1680.01</v>
      </c>
      <c r="O86" s="36">
        <v>1680.01</v>
      </c>
      <c r="P86" s="36">
        <v>1775.653</v>
      </c>
      <c r="Q86" s="36">
        <v>1977.6389999999999</v>
      </c>
      <c r="R86" s="36">
        <v>1947.74</v>
      </c>
      <c r="S86" s="34">
        <v>1914.4259999999999</v>
      </c>
      <c r="T86" s="34">
        <v>1914.4259999999999</v>
      </c>
      <c r="U86" s="40">
        <f>+T86-U51+U18</f>
        <v>1899.4259999999999</v>
      </c>
      <c r="V86" s="40">
        <f>+U86-V51+V18</f>
        <v>1876.5926666666667</v>
      </c>
      <c r="W86" s="40">
        <f>+V86-W51+W18</f>
        <v>1853.7593333333334</v>
      </c>
      <c r="X86" s="40">
        <f>+W86-X51+X18</f>
        <v>1830.9260000000002</v>
      </c>
      <c r="Y86" s="40">
        <f t="shared" ref="Y86:Y94" si="15">+X86</f>
        <v>1830.9260000000002</v>
      </c>
      <c r="Z86" s="40"/>
      <c r="AA86" s="40"/>
      <c r="AB86" s="40"/>
      <c r="AC86" s="40"/>
      <c r="AD86" s="40"/>
      <c r="AI86" s="21"/>
      <c r="AJ86" s="21"/>
    </row>
    <row r="87" spans="3:36" s="20" customFormat="1" x14ac:dyDescent="0.2">
      <c r="C87" s="17" t="s">
        <v>259</v>
      </c>
      <c r="D87" s="17"/>
      <c r="E87" s="36">
        <v>0</v>
      </c>
      <c r="F87" s="36">
        <v>0</v>
      </c>
      <c r="G87" s="36">
        <v>14.606</v>
      </c>
      <c r="H87" s="36">
        <v>29.375</v>
      </c>
      <c r="I87" s="36">
        <v>49.290999999999997</v>
      </c>
      <c r="J87" s="36">
        <v>49.290999999999997</v>
      </c>
      <c r="K87" s="36">
        <v>60.033999999999999</v>
      </c>
      <c r="L87" s="36">
        <v>71.036000000000001</v>
      </c>
      <c r="M87" s="36">
        <v>101.70099999999999</v>
      </c>
      <c r="N87" s="36">
        <v>123.94</v>
      </c>
      <c r="O87" s="36">
        <v>123.94</v>
      </c>
      <c r="P87" s="36">
        <v>85.662000000000006</v>
      </c>
      <c r="Q87" s="36">
        <v>0</v>
      </c>
      <c r="R87" s="36">
        <v>0</v>
      </c>
      <c r="S87" s="34">
        <v>11.67</v>
      </c>
      <c r="T87" s="34">
        <v>11.67</v>
      </c>
      <c r="U87" s="130">
        <f t="shared" ref="U87:X94" si="16">+T87</f>
        <v>11.67</v>
      </c>
      <c r="V87" s="130">
        <f t="shared" si="16"/>
        <v>11.67</v>
      </c>
      <c r="W87" s="130">
        <f t="shared" si="16"/>
        <v>11.67</v>
      </c>
      <c r="X87" s="130">
        <f t="shared" si="16"/>
        <v>11.67</v>
      </c>
      <c r="Y87" s="40">
        <f t="shared" si="15"/>
        <v>11.67</v>
      </c>
      <c r="Z87" s="40"/>
      <c r="AA87" s="40"/>
      <c r="AB87" s="40"/>
      <c r="AC87" s="40"/>
      <c r="AD87" s="40"/>
      <c r="AI87" s="21"/>
      <c r="AJ87" s="21"/>
    </row>
    <row r="88" spans="3:36" s="20" customFormat="1" x14ac:dyDescent="0.2">
      <c r="C88" s="17" t="s">
        <v>260</v>
      </c>
      <c r="D88" s="17"/>
      <c r="E88" s="36">
        <v>36.334000000000003</v>
      </c>
      <c r="F88" s="36">
        <v>38.15</v>
      </c>
      <c r="G88" s="36">
        <v>39.405000000000001</v>
      </c>
      <c r="H88" s="36">
        <v>44.17</v>
      </c>
      <c r="I88" s="36">
        <v>55.753</v>
      </c>
      <c r="J88" s="36">
        <v>55.753</v>
      </c>
      <c r="K88" s="36">
        <v>60.472999999999999</v>
      </c>
      <c r="L88" s="36">
        <v>57.591999999999999</v>
      </c>
      <c r="M88" s="36">
        <v>64.013000000000005</v>
      </c>
      <c r="N88" s="36">
        <v>65.611000000000004</v>
      </c>
      <c r="O88" s="36">
        <v>65.611000000000004</v>
      </c>
      <c r="P88" s="36">
        <v>72.873999999999995</v>
      </c>
      <c r="Q88" s="36">
        <v>69.887</v>
      </c>
      <c r="R88" s="36">
        <v>72.313999999999993</v>
      </c>
      <c r="S88" s="34">
        <v>70.88</v>
      </c>
      <c r="T88" s="34">
        <v>70.88</v>
      </c>
      <c r="U88" s="130">
        <f t="shared" si="16"/>
        <v>70.88</v>
      </c>
      <c r="V88" s="130">
        <f t="shared" si="16"/>
        <v>70.88</v>
      </c>
      <c r="W88" s="130">
        <f t="shared" si="16"/>
        <v>70.88</v>
      </c>
      <c r="X88" s="130">
        <f t="shared" si="16"/>
        <v>70.88</v>
      </c>
      <c r="Y88" s="40">
        <f t="shared" si="15"/>
        <v>70.88</v>
      </c>
      <c r="Z88" s="40"/>
      <c r="AA88" s="40"/>
      <c r="AB88" s="40"/>
      <c r="AC88" s="40"/>
      <c r="AD88" s="40"/>
      <c r="AI88" s="21"/>
      <c r="AJ88" s="21"/>
    </row>
    <row r="89" spans="3:36" s="20" customFormat="1" x14ac:dyDescent="0.2">
      <c r="C89" s="17" t="s">
        <v>261</v>
      </c>
      <c r="D89" s="17"/>
      <c r="E89" s="36">
        <v>21.588000000000001</v>
      </c>
      <c r="F89" s="36">
        <v>19.157</v>
      </c>
      <c r="G89" s="36">
        <v>16.998999999999999</v>
      </c>
      <c r="H89" s="36">
        <v>21.992000000000001</v>
      </c>
      <c r="I89" s="36">
        <v>23.167999999999999</v>
      </c>
      <c r="J89" s="36">
        <v>23.167999999999999</v>
      </c>
      <c r="K89" s="36">
        <v>23.425000000000001</v>
      </c>
      <c r="L89" s="36">
        <v>20.917000000000002</v>
      </c>
      <c r="M89" s="36">
        <v>18.068999999999999</v>
      </c>
      <c r="N89" s="36">
        <v>8.4710000000000001</v>
      </c>
      <c r="O89" s="36">
        <v>8.4710000000000001</v>
      </c>
      <c r="P89" s="36">
        <v>7.085</v>
      </c>
      <c r="Q89" s="36">
        <v>6.3079999999999998</v>
      </c>
      <c r="R89" s="36">
        <v>22.738</v>
      </c>
      <c r="S89" s="34">
        <v>20.390999999999998</v>
      </c>
      <c r="T89" s="34">
        <v>20.390999999999998</v>
      </c>
      <c r="U89" s="130">
        <f t="shared" si="16"/>
        <v>20.390999999999998</v>
      </c>
      <c r="V89" s="130">
        <f t="shared" si="16"/>
        <v>20.390999999999998</v>
      </c>
      <c r="W89" s="130">
        <f t="shared" si="16"/>
        <v>20.390999999999998</v>
      </c>
      <c r="X89" s="130">
        <f t="shared" si="16"/>
        <v>20.390999999999998</v>
      </c>
      <c r="Y89" s="40">
        <f t="shared" si="15"/>
        <v>20.390999999999998</v>
      </c>
      <c r="Z89" s="40"/>
      <c r="AA89" s="40"/>
      <c r="AB89" s="40"/>
      <c r="AC89" s="40"/>
      <c r="AD89" s="40"/>
      <c r="AI89" s="21"/>
      <c r="AJ89" s="21"/>
    </row>
    <row r="90" spans="3:36" s="20" customFormat="1" x14ac:dyDescent="0.2">
      <c r="C90" s="17" t="s">
        <v>262</v>
      </c>
      <c r="D90" s="17"/>
      <c r="E90" s="36"/>
      <c r="F90" s="36"/>
      <c r="G90" s="36"/>
      <c r="H90" s="36"/>
      <c r="I90" s="36"/>
      <c r="J90" s="36"/>
      <c r="K90" s="36"/>
      <c r="L90" s="36"/>
      <c r="M90" s="36"/>
      <c r="N90" s="36">
        <v>44.390999999999998</v>
      </c>
      <c r="O90" s="36">
        <v>44.390999999999998</v>
      </c>
      <c r="P90" s="36">
        <v>22.001000000000001</v>
      </c>
      <c r="Q90" s="36">
        <v>0</v>
      </c>
      <c r="R90" s="36">
        <v>0</v>
      </c>
      <c r="S90" s="34">
        <v>0</v>
      </c>
      <c r="T90" s="34">
        <v>0</v>
      </c>
      <c r="U90" s="130">
        <f t="shared" si="16"/>
        <v>0</v>
      </c>
      <c r="V90" s="130">
        <f t="shared" si="16"/>
        <v>0</v>
      </c>
      <c r="W90" s="130">
        <f t="shared" si="16"/>
        <v>0</v>
      </c>
      <c r="X90" s="130">
        <f t="shared" si="16"/>
        <v>0</v>
      </c>
      <c r="Y90" s="40">
        <f t="shared" si="15"/>
        <v>0</v>
      </c>
      <c r="Z90" s="40"/>
      <c r="AA90" s="40"/>
      <c r="AB90" s="40"/>
      <c r="AC90" s="40"/>
      <c r="AD90" s="40"/>
      <c r="AI90" s="21"/>
      <c r="AJ90" s="21"/>
    </row>
    <row r="91" spans="3:36" s="20" customFormat="1" x14ac:dyDescent="0.2">
      <c r="C91" s="17" t="s">
        <v>237</v>
      </c>
      <c r="D91" s="17"/>
      <c r="E91" s="36">
        <v>141.92400000000001</v>
      </c>
      <c r="F91" s="36">
        <v>144.77000000000001</v>
      </c>
      <c r="G91" s="36">
        <v>149.58000000000001</v>
      </c>
      <c r="H91" s="36">
        <v>177.40199999999999</v>
      </c>
      <c r="I91" s="36">
        <v>180.33099999999999</v>
      </c>
      <c r="J91" s="36">
        <v>180.33099999999999</v>
      </c>
      <c r="K91" s="36">
        <v>183.36099999999999</v>
      </c>
      <c r="L91" s="36">
        <v>39.832000000000001</v>
      </c>
      <c r="M91" s="36">
        <v>38.109000000000002</v>
      </c>
      <c r="N91" s="36">
        <v>36.414000000000001</v>
      </c>
      <c r="O91" s="36">
        <v>36.414000000000001</v>
      </c>
      <c r="P91" s="36">
        <v>34.076000000000001</v>
      </c>
      <c r="Q91" s="36">
        <v>32.521000000000001</v>
      </c>
      <c r="R91" s="36">
        <v>33.500999999999998</v>
      </c>
      <c r="S91" s="34">
        <v>31.748000000000001</v>
      </c>
      <c r="T91" s="34">
        <v>31.748000000000001</v>
      </c>
      <c r="U91" s="130">
        <f t="shared" si="16"/>
        <v>31.748000000000001</v>
      </c>
      <c r="V91" s="130">
        <f t="shared" si="16"/>
        <v>31.748000000000001</v>
      </c>
      <c r="W91" s="130">
        <f t="shared" si="16"/>
        <v>31.748000000000001</v>
      </c>
      <c r="X91" s="130">
        <f t="shared" si="16"/>
        <v>31.748000000000001</v>
      </c>
      <c r="Y91" s="40">
        <f t="shared" si="15"/>
        <v>31.748000000000001</v>
      </c>
      <c r="Z91" s="40"/>
      <c r="AA91" s="40"/>
      <c r="AB91" s="40"/>
      <c r="AC91" s="40"/>
      <c r="AD91" s="40"/>
      <c r="AI91" s="21"/>
      <c r="AJ91" s="21"/>
    </row>
    <row r="92" spans="3:36" s="20" customFormat="1" x14ac:dyDescent="0.2">
      <c r="C92" s="17" t="s">
        <v>263</v>
      </c>
      <c r="D92" s="17"/>
      <c r="E92" s="36">
        <v>2.129</v>
      </c>
      <c r="F92" s="36">
        <v>8.6419999999999995</v>
      </c>
      <c r="G92" s="36">
        <v>6.5259999999999998</v>
      </c>
      <c r="H92" s="36">
        <v>7.3179999999999996</v>
      </c>
      <c r="I92" s="36">
        <v>1.296</v>
      </c>
      <c r="J92" s="36">
        <v>1.296</v>
      </c>
      <c r="K92" s="36">
        <v>5.9589999999999996</v>
      </c>
      <c r="L92" s="36">
        <v>0</v>
      </c>
      <c r="M92" s="36">
        <v>6.2519999999999998</v>
      </c>
      <c r="N92" s="36">
        <v>4.6619999999999999</v>
      </c>
      <c r="O92" s="36">
        <v>4.6619999999999999</v>
      </c>
      <c r="P92" s="36">
        <v>2.1379999999999999</v>
      </c>
      <c r="Q92" s="36">
        <v>4.4619999999999997</v>
      </c>
      <c r="R92" s="36">
        <v>4.5199999999999996</v>
      </c>
      <c r="S92" s="34">
        <v>1.153</v>
      </c>
      <c r="T92" s="34">
        <v>1.153</v>
      </c>
      <c r="U92" s="130">
        <f t="shared" si="16"/>
        <v>1.153</v>
      </c>
      <c r="V92" s="130">
        <f t="shared" si="16"/>
        <v>1.153</v>
      </c>
      <c r="W92" s="130">
        <f t="shared" si="16"/>
        <v>1.153</v>
      </c>
      <c r="X92" s="130">
        <f t="shared" si="16"/>
        <v>1.153</v>
      </c>
      <c r="Y92" s="40">
        <f t="shared" si="15"/>
        <v>1.153</v>
      </c>
      <c r="Z92" s="40"/>
      <c r="AA92" s="40"/>
      <c r="AB92" s="40"/>
      <c r="AC92" s="40"/>
      <c r="AD92" s="40"/>
      <c r="AI92" s="21"/>
      <c r="AJ92" s="21"/>
    </row>
    <row r="93" spans="3:36" s="20" customFormat="1" x14ac:dyDescent="0.2">
      <c r="C93" s="17" t="s">
        <v>264</v>
      </c>
      <c r="D93" s="17"/>
      <c r="E93" s="36">
        <v>0</v>
      </c>
      <c r="F93" s="36">
        <v>0</v>
      </c>
      <c r="G93" s="36">
        <v>0</v>
      </c>
      <c r="H93" s="36">
        <v>3.125</v>
      </c>
      <c r="I93" s="36">
        <v>0.84199999999999997</v>
      </c>
      <c r="J93" s="36">
        <v>0.84199999999999997</v>
      </c>
      <c r="K93" s="36">
        <v>0.502</v>
      </c>
      <c r="L93" s="36">
        <v>0.159</v>
      </c>
      <c r="M93" s="36">
        <v>0</v>
      </c>
      <c r="N93" s="36">
        <v>0</v>
      </c>
      <c r="O93" s="36">
        <v>0</v>
      </c>
      <c r="P93" s="36">
        <v>0</v>
      </c>
      <c r="Q93" s="36">
        <v>0</v>
      </c>
      <c r="R93" s="36">
        <v>0</v>
      </c>
      <c r="S93" s="34">
        <v>0</v>
      </c>
      <c r="T93" s="34">
        <v>0</v>
      </c>
      <c r="U93" s="130">
        <f t="shared" si="16"/>
        <v>0</v>
      </c>
      <c r="V93" s="130">
        <f t="shared" si="16"/>
        <v>0</v>
      </c>
      <c r="W93" s="130">
        <f t="shared" si="16"/>
        <v>0</v>
      </c>
      <c r="X93" s="130">
        <f t="shared" si="16"/>
        <v>0</v>
      </c>
      <c r="Y93" s="40">
        <f t="shared" si="15"/>
        <v>0</v>
      </c>
      <c r="Z93" s="40"/>
      <c r="AA93" s="40"/>
      <c r="AB93" s="40"/>
      <c r="AC93" s="40"/>
      <c r="AD93" s="40"/>
      <c r="AI93" s="21"/>
      <c r="AJ93" s="21"/>
    </row>
    <row r="94" spans="3:36" s="20" customFormat="1" x14ac:dyDescent="0.2">
      <c r="C94" s="17" t="s">
        <v>265</v>
      </c>
      <c r="D94" s="17"/>
      <c r="E94" s="36">
        <v>3.2290000000000001</v>
      </c>
      <c r="F94" s="36">
        <v>5.8570000000000002</v>
      </c>
      <c r="G94" s="36">
        <v>7.5190000000000001</v>
      </c>
      <c r="H94" s="36">
        <v>3.5649999999999999</v>
      </c>
      <c r="I94" s="36">
        <v>7.7</v>
      </c>
      <c r="J94" s="36">
        <v>7.7</v>
      </c>
      <c r="K94" s="36">
        <v>12.036</v>
      </c>
      <c r="L94" s="36">
        <v>14.906000000000001</v>
      </c>
      <c r="M94" s="36">
        <v>13.374000000000001</v>
      </c>
      <c r="N94" s="36">
        <v>9.2200000000000006</v>
      </c>
      <c r="O94" s="36">
        <v>9.2200000000000006</v>
      </c>
      <c r="P94" s="36">
        <v>9.4410000000000007</v>
      </c>
      <c r="Q94" s="36">
        <v>5.1580000000000004</v>
      </c>
      <c r="R94" s="36">
        <v>6.3339999999999996</v>
      </c>
      <c r="S94" s="34">
        <v>6.5709999999999997</v>
      </c>
      <c r="T94" s="34">
        <v>6.5709999999999997</v>
      </c>
      <c r="U94" s="130">
        <f t="shared" si="16"/>
        <v>6.5709999999999997</v>
      </c>
      <c r="V94" s="130">
        <f t="shared" si="16"/>
        <v>6.5709999999999997</v>
      </c>
      <c r="W94" s="130">
        <f t="shared" si="16"/>
        <v>6.5709999999999997</v>
      </c>
      <c r="X94" s="130">
        <f t="shared" si="16"/>
        <v>6.5709999999999997</v>
      </c>
      <c r="Y94" s="40">
        <f t="shared" si="15"/>
        <v>6.5709999999999997</v>
      </c>
      <c r="Z94" s="40"/>
      <c r="AA94" s="40"/>
      <c r="AB94" s="40"/>
      <c r="AC94" s="40"/>
      <c r="AD94" s="40"/>
      <c r="AI94" s="21"/>
      <c r="AJ94" s="21"/>
    </row>
    <row r="95" spans="3:36" s="20" customFormat="1" x14ac:dyDescent="0.2">
      <c r="C95" s="32" t="s">
        <v>156</v>
      </c>
      <c r="D95" s="32"/>
      <c r="E95" s="33">
        <f t="shared" ref="E95:AD95" si="17">+SUM(E85:E94)</f>
        <v>1329.7049999999999</v>
      </c>
      <c r="F95" s="33">
        <f t="shared" si="17"/>
        <v>1330.652</v>
      </c>
      <c r="G95" s="33">
        <f t="shared" si="17"/>
        <v>1306.5550000000001</v>
      </c>
      <c r="H95" s="33">
        <f t="shared" si="17"/>
        <v>2213.0520000000001</v>
      </c>
      <c r="I95" s="33">
        <f t="shared" si="17"/>
        <v>2122.2809999999995</v>
      </c>
      <c r="J95" s="33">
        <f t="shared" si="17"/>
        <v>2122.2809999999995</v>
      </c>
      <c r="K95" s="33">
        <f t="shared" si="17"/>
        <v>2120.1049999999996</v>
      </c>
      <c r="L95" s="33">
        <f t="shared" si="17"/>
        <v>1929.2380000000003</v>
      </c>
      <c r="M95" s="33">
        <f t="shared" si="17"/>
        <v>1950.3529999999998</v>
      </c>
      <c r="N95" s="33">
        <f t="shared" si="17"/>
        <v>1972.7190000000003</v>
      </c>
      <c r="O95" s="33">
        <f t="shared" si="17"/>
        <v>1972.7190000000003</v>
      </c>
      <c r="P95" s="33">
        <f t="shared" si="17"/>
        <v>2027.259</v>
      </c>
      <c r="Q95" s="33">
        <f t="shared" si="17"/>
        <v>2095.9749999999999</v>
      </c>
      <c r="R95" s="33">
        <f t="shared" si="17"/>
        <v>2087.1469999999999</v>
      </c>
      <c r="S95" s="33">
        <f t="shared" si="17"/>
        <v>2056.8389999999999</v>
      </c>
      <c r="T95" s="33">
        <f>+SUM(T85:T94)</f>
        <v>2056.8389999999999</v>
      </c>
      <c r="U95" s="33">
        <f t="shared" si="17"/>
        <v>2041.8390000000002</v>
      </c>
      <c r="V95" s="33">
        <f t="shared" si="17"/>
        <v>2019.0056666666667</v>
      </c>
      <c r="W95" s="33">
        <f t="shared" si="17"/>
        <v>1996.1723333333337</v>
      </c>
      <c r="X95" s="33">
        <f t="shared" si="17"/>
        <v>1973.3390000000002</v>
      </c>
      <c r="Y95" s="33">
        <f t="shared" si="17"/>
        <v>1973.3390000000002</v>
      </c>
      <c r="Z95" s="33">
        <f t="shared" si="17"/>
        <v>0</v>
      </c>
      <c r="AA95" s="33">
        <f t="shared" si="17"/>
        <v>0</v>
      </c>
      <c r="AB95" s="33">
        <f t="shared" si="17"/>
        <v>0</v>
      </c>
      <c r="AC95" s="33">
        <f t="shared" si="17"/>
        <v>0</v>
      </c>
      <c r="AD95" s="33">
        <f t="shared" si="17"/>
        <v>0</v>
      </c>
      <c r="AI95" s="21"/>
      <c r="AJ95" s="21"/>
    </row>
    <row r="96" spans="3:36" s="20" customFormat="1" ht="5.0999999999999996" customHeight="1" x14ac:dyDescent="0.2">
      <c r="C96" s="17"/>
      <c r="D96" s="17"/>
      <c r="E96" s="37"/>
      <c r="F96" s="37"/>
      <c r="G96" s="37"/>
      <c r="H96" s="37"/>
      <c r="I96" s="37"/>
      <c r="J96" s="37"/>
      <c r="K96" s="37"/>
      <c r="L96" s="37"/>
      <c r="M96" s="37"/>
      <c r="N96" s="37"/>
      <c r="O96" s="37"/>
      <c r="P96" s="37"/>
      <c r="Q96" s="37"/>
      <c r="R96" s="37"/>
      <c r="AI96" s="21"/>
      <c r="AJ96" s="21"/>
    </row>
    <row r="97" spans="3:36" s="20" customFormat="1" x14ac:dyDescent="0.2">
      <c r="C97" s="17" t="s">
        <v>154</v>
      </c>
      <c r="D97" s="17"/>
      <c r="E97" s="36">
        <v>199.39</v>
      </c>
      <c r="F97" s="36">
        <v>156.178</v>
      </c>
      <c r="G97" s="36">
        <v>117.39100000000001</v>
      </c>
      <c r="H97" s="36">
        <v>108.89700000000001</v>
      </c>
      <c r="I97" s="36">
        <v>97.882999999999996</v>
      </c>
      <c r="J97" s="36">
        <v>97.882999999999996</v>
      </c>
      <c r="K97" s="36">
        <v>74.552999999999997</v>
      </c>
      <c r="L97" s="36">
        <v>230.666</v>
      </c>
      <c r="M97" s="36">
        <v>174.465</v>
      </c>
      <c r="N97" s="36">
        <v>243.744</v>
      </c>
      <c r="O97" s="36">
        <v>243.744</v>
      </c>
      <c r="P97" s="36">
        <v>156.22</v>
      </c>
      <c r="Q97" s="36">
        <v>116.023</v>
      </c>
      <c r="R97" s="36">
        <v>138.976</v>
      </c>
      <c r="S97" s="36">
        <v>126.76</v>
      </c>
      <c r="T97" s="36">
        <v>126.76</v>
      </c>
      <c r="U97" s="40">
        <f>+U82</f>
        <v>164.72152999999992</v>
      </c>
      <c r="V97" s="40">
        <f>+V82</f>
        <v>234.36078116958436</v>
      </c>
      <c r="W97" s="40">
        <f>+W82</f>
        <v>273.62371309130197</v>
      </c>
      <c r="X97" s="40">
        <f>+X82</f>
        <v>362.66545381004221</v>
      </c>
      <c r="Y97" s="130">
        <f t="shared" ref="Y97:Y105" si="18">+X97</f>
        <v>362.66545381004221</v>
      </c>
      <c r="Z97" s="40"/>
      <c r="AA97" s="40"/>
      <c r="AB97" s="40"/>
      <c r="AC97" s="40"/>
      <c r="AD97" s="40"/>
      <c r="AI97" s="21"/>
      <c r="AJ97" s="21"/>
    </row>
    <row r="98" spans="3:36" s="20" customFormat="1" x14ac:dyDescent="0.2">
      <c r="C98" s="17" t="s">
        <v>266</v>
      </c>
      <c r="D98" s="17"/>
      <c r="E98" s="36">
        <v>0</v>
      </c>
      <c r="F98" s="36">
        <v>0</v>
      </c>
      <c r="G98" s="36">
        <v>0</v>
      </c>
      <c r="H98" s="36">
        <v>0</v>
      </c>
      <c r="I98" s="36">
        <v>0</v>
      </c>
      <c r="J98" s="36">
        <v>0</v>
      </c>
      <c r="K98" s="36">
        <v>0</v>
      </c>
      <c r="L98" s="36">
        <v>0</v>
      </c>
      <c r="M98" s="36">
        <v>80</v>
      </c>
      <c r="N98" s="36">
        <v>80</v>
      </c>
      <c r="O98" s="36">
        <v>80</v>
      </c>
      <c r="P98" s="36">
        <v>105</v>
      </c>
      <c r="Q98" s="36">
        <v>120</v>
      </c>
      <c r="R98" s="36">
        <v>75</v>
      </c>
      <c r="S98" s="36">
        <v>60</v>
      </c>
      <c r="T98" s="36">
        <v>60</v>
      </c>
      <c r="U98" s="130">
        <f t="shared" ref="U98:X105" si="19">+T98</f>
        <v>60</v>
      </c>
      <c r="V98" s="130">
        <f t="shared" si="19"/>
        <v>60</v>
      </c>
      <c r="W98" s="130">
        <f t="shared" si="19"/>
        <v>60</v>
      </c>
      <c r="X98" s="130">
        <f t="shared" si="19"/>
        <v>60</v>
      </c>
      <c r="Y98" s="130">
        <f t="shared" si="18"/>
        <v>60</v>
      </c>
      <c r="Z98" s="40"/>
      <c r="AA98" s="40"/>
      <c r="AB98" s="40"/>
      <c r="AC98" s="40"/>
      <c r="AD98" s="40"/>
      <c r="AI98" s="21"/>
      <c r="AJ98" s="21"/>
    </row>
    <row r="99" spans="3:36" s="20" customFormat="1" x14ac:dyDescent="0.2">
      <c r="C99" s="17" t="s">
        <v>267</v>
      </c>
      <c r="D99" s="17"/>
      <c r="E99" s="36">
        <v>43.362000000000002</v>
      </c>
      <c r="F99" s="36">
        <v>46.101999999999997</v>
      </c>
      <c r="G99" s="36">
        <v>50.981000000000002</v>
      </c>
      <c r="H99" s="36">
        <v>96.858000000000004</v>
      </c>
      <c r="I99" s="36">
        <v>107.096</v>
      </c>
      <c r="J99" s="36">
        <v>107.096</v>
      </c>
      <c r="K99" s="36">
        <v>120.465</v>
      </c>
      <c r="L99" s="36">
        <v>181.905</v>
      </c>
      <c r="M99" s="36">
        <v>230.14099999999999</v>
      </c>
      <c r="N99" s="36">
        <v>289.77499999999998</v>
      </c>
      <c r="O99" s="36">
        <v>289.77499999999998</v>
      </c>
      <c r="P99" s="36">
        <v>248.029</v>
      </c>
      <c r="Q99" s="36">
        <v>241.08799999999999</v>
      </c>
      <c r="R99" s="36">
        <v>219.827</v>
      </c>
      <c r="S99" s="36">
        <v>247.16499999999999</v>
      </c>
      <c r="T99" s="36">
        <v>247.16499999999999</v>
      </c>
      <c r="U99" s="130">
        <f t="shared" si="19"/>
        <v>247.16499999999999</v>
      </c>
      <c r="V99" s="130">
        <f t="shared" si="19"/>
        <v>247.16499999999999</v>
      </c>
      <c r="W99" s="130">
        <f t="shared" si="19"/>
        <v>247.16499999999999</v>
      </c>
      <c r="X99" s="130">
        <f t="shared" si="19"/>
        <v>247.16499999999999</v>
      </c>
      <c r="Y99" s="130">
        <f t="shared" si="18"/>
        <v>247.16499999999999</v>
      </c>
      <c r="Z99" s="40"/>
      <c r="AA99" s="40"/>
      <c r="AB99" s="40"/>
      <c r="AC99" s="40"/>
      <c r="AD99" s="40"/>
      <c r="AI99" s="21"/>
      <c r="AJ99" s="21"/>
    </row>
    <row r="100" spans="3:36" s="20" customFormat="1" x14ac:dyDescent="0.2">
      <c r="C100" s="17" t="s">
        <v>268</v>
      </c>
      <c r="D100" s="17"/>
      <c r="E100" s="36">
        <v>4.4790000000000001</v>
      </c>
      <c r="F100" s="36">
        <v>7.4690000000000003</v>
      </c>
      <c r="G100" s="36">
        <v>6.3239999999999998</v>
      </c>
      <c r="H100" s="36">
        <v>4.32</v>
      </c>
      <c r="I100" s="36">
        <v>5.6509999999999998</v>
      </c>
      <c r="J100" s="36">
        <v>5.6509999999999998</v>
      </c>
      <c r="K100" s="36">
        <v>7.3680000000000003</v>
      </c>
      <c r="L100" s="36">
        <v>6.7789999999999999</v>
      </c>
      <c r="M100" s="36">
        <v>7.891</v>
      </c>
      <c r="N100" s="36">
        <v>12.583</v>
      </c>
      <c r="O100" s="36">
        <v>12.583</v>
      </c>
      <c r="P100" s="36">
        <v>11.558999999999999</v>
      </c>
      <c r="Q100" s="36">
        <v>12.84</v>
      </c>
      <c r="R100" s="36">
        <v>11.285</v>
      </c>
      <c r="S100" s="36">
        <v>14.303000000000001</v>
      </c>
      <c r="T100" s="36">
        <v>14.303000000000001</v>
      </c>
      <c r="U100" s="130">
        <f t="shared" si="19"/>
        <v>14.303000000000001</v>
      </c>
      <c r="V100" s="130">
        <f t="shared" si="19"/>
        <v>14.303000000000001</v>
      </c>
      <c r="W100" s="130">
        <f t="shared" si="19"/>
        <v>14.303000000000001</v>
      </c>
      <c r="X100" s="130">
        <f t="shared" si="19"/>
        <v>14.303000000000001</v>
      </c>
      <c r="Y100" s="130">
        <f t="shared" si="18"/>
        <v>14.303000000000001</v>
      </c>
      <c r="Z100" s="40"/>
      <c r="AA100" s="40"/>
      <c r="AB100" s="40"/>
      <c r="AC100" s="40"/>
      <c r="AD100" s="40"/>
      <c r="AI100" s="21"/>
      <c r="AJ100" s="21"/>
    </row>
    <row r="101" spans="3:36" s="20" customFormat="1" x14ac:dyDescent="0.2">
      <c r="C101" s="17" t="s">
        <v>115</v>
      </c>
      <c r="D101" s="17"/>
      <c r="E101" s="36">
        <v>3.601</v>
      </c>
      <c r="F101" s="36">
        <v>2.2709999999999999</v>
      </c>
      <c r="G101" s="36">
        <v>2.1030000000000002</v>
      </c>
      <c r="H101" s="36">
        <v>2.5779999999999998</v>
      </c>
      <c r="I101" s="36">
        <v>2.11</v>
      </c>
      <c r="J101" s="36">
        <v>2.11</v>
      </c>
      <c r="K101" s="36">
        <v>2.335</v>
      </c>
      <c r="L101" s="36">
        <v>0.80400000000000005</v>
      </c>
      <c r="M101" s="36">
        <v>0.873</v>
      </c>
      <c r="N101" s="36">
        <v>0.53100000000000003</v>
      </c>
      <c r="O101" s="36">
        <v>0.53100000000000003</v>
      </c>
      <c r="P101" s="36">
        <v>0.69799999999999995</v>
      </c>
      <c r="Q101" s="36">
        <v>0.629</v>
      </c>
      <c r="R101" s="36">
        <v>1.143</v>
      </c>
      <c r="S101" s="36">
        <v>1.329</v>
      </c>
      <c r="T101" s="36">
        <v>1.329</v>
      </c>
      <c r="U101" s="130">
        <f t="shared" si="19"/>
        <v>1.329</v>
      </c>
      <c r="V101" s="130">
        <f t="shared" si="19"/>
        <v>1.329</v>
      </c>
      <c r="W101" s="130">
        <f t="shared" si="19"/>
        <v>1.329</v>
      </c>
      <c r="X101" s="130">
        <f t="shared" si="19"/>
        <v>1.329</v>
      </c>
      <c r="Y101" s="130">
        <f t="shared" si="18"/>
        <v>1.329</v>
      </c>
      <c r="Z101" s="40"/>
      <c r="AA101" s="40"/>
      <c r="AB101" s="40"/>
      <c r="AC101" s="40"/>
      <c r="AD101" s="40"/>
      <c r="AI101" s="21"/>
      <c r="AJ101" s="21"/>
    </row>
    <row r="102" spans="3:36" s="20" customFormat="1" x14ac:dyDescent="0.2">
      <c r="C102" s="17" t="s">
        <v>114</v>
      </c>
      <c r="D102" s="17"/>
      <c r="E102" s="36">
        <v>6.0019999999999998</v>
      </c>
      <c r="F102" s="36">
        <v>9.3800000000000008</v>
      </c>
      <c r="G102" s="36">
        <v>6.3650000000000002</v>
      </c>
      <c r="H102" s="36">
        <v>9.6110000000000007</v>
      </c>
      <c r="I102" s="36">
        <v>11.759</v>
      </c>
      <c r="J102" s="36">
        <v>11.759</v>
      </c>
      <c r="K102" s="36">
        <v>16.558</v>
      </c>
      <c r="L102" s="36">
        <v>14.086</v>
      </c>
      <c r="M102" s="36">
        <v>11.379</v>
      </c>
      <c r="N102" s="36">
        <v>8.9949999999999992</v>
      </c>
      <c r="O102" s="36">
        <v>8.9949999999999992</v>
      </c>
      <c r="P102" s="36">
        <v>16.491</v>
      </c>
      <c r="Q102" s="36">
        <v>15.079000000000001</v>
      </c>
      <c r="R102" s="36">
        <v>11.567</v>
      </c>
      <c r="S102" s="36">
        <v>10.342000000000001</v>
      </c>
      <c r="T102" s="36">
        <v>10.342000000000001</v>
      </c>
      <c r="U102" s="130">
        <f t="shared" si="19"/>
        <v>10.342000000000001</v>
      </c>
      <c r="V102" s="130">
        <f t="shared" si="19"/>
        <v>10.342000000000001</v>
      </c>
      <c r="W102" s="130">
        <f t="shared" si="19"/>
        <v>10.342000000000001</v>
      </c>
      <c r="X102" s="130">
        <f t="shared" si="19"/>
        <v>10.342000000000001</v>
      </c>
      <c r="Y102" s="130">
        <f t="shared" si="18"/>
        <v>10.342000000000001</v>
      </c>
      <c r="Z102" s="40"/>
      <c r="AA102" s="40"/>
      <c r="AB102" s="40"/>
      <c r="AC102" s="40"/>
      <c r="AD102" s="40"/>
      <c r="AI102" s="21"/>
      <c r="AJ102" s="21"/>
    </row>
    <row r="103" spans="3:36" s="20" customFormat="1" x14ac:dyDescent="0.2">
      <c r="C103" s="17" t="s">
        <v>269</v>
      </c>
      <c r="D103" s="17"/>
      <c r="E103" s="36">
        <v>0</v>
      </c>
      <c r="F103" s="36">
        <v>0</v>
      </c>
      <c r="G103" s="36">
        <v>0</v>
      </c>
      <c r="H103" s="36">
        <v>0</v>
      </c>
      <c r="I103" s="36">
        <v>0</v>
      </c>
      <c r="J103" s="36">
        <v>0</v>
      </c>
      <c r="K103" s="36">
        <v>0</v>
      </c>
      <c r="L103" s="36">
        <v>0</v>
      </c>
      <c r="M103" s="36">
        <v>0</v>
      </c>
      <c r="N103" s="36">
        <v>0</v>
      </c>
      <c r="O103" s="36">
        <v>0</v>
      </c>
      <c r="P103" s="36">
        <v>0</v>
      </c>
      <c r="Q103" s="36">
        <v>46.427</v>
      </c>
      <c r="R103" s="36">
        <v>0</v>
      </c>
      <c r="S103" s="36">
        <v>0</v>
      </c>
      <c r="T103" s="36">
        <v>0</v>
      </c>
      <c r="U103" s="130">
        <f t="shared" si="19"/>
        <v>0</v>
      </c>
      <c r="V103" s="130">
        <f t="shared" si="19"/>
        <v>0</v>
      </c>
      <c r="W103" s="130">
        <f t="shared" si="19"/>
        <v>0</v>
      </c>
      <c r="X103" s="130">
        <f t="shared" si="19"/>
        <v>0</v>
      </c>
      <c r="Y103" s="130">
        <f t="shared" si="18"/>
        <v>0</v>
      </c>
      <c r="Z103" s="40"/>
      <c r="AA103" s="40"/>
      <c r="AB103" s="40"/>
      <c r="AC103" s="40"/>
      <c r="AD103" s="40"/>
      <c r="AI103" s="21"/>
      <c r="AJ103" s="21"/>
    </row>
    <row r="104" spans="3:36" s="20" customFormat="1" x14ac:dyDescent="0.2">
      <c r="C104" s="17" t="s">
        <v>270</v>
      </c>
      <c r="D104" s="17"/>
      <c r="E104" s="36">
        <v>0</v>
      </c>
      <c r="F104" s="36">
        <v>0</v>
      </c>
      <c r="G104" s="36">
        <v>0</v>
      </c>
      <c r="H104" s="36">
        <v>0</v>
      </c>
      <c r="I104" s="36">
        <v>0</v>
      </c>
      <c r="J104" s="36">
        <v>0</v>
      </c>
      <c r="K104" s="36">
        <v>2.0609999999999999</v>
      </c>
      <c r="L104" s="36">
        <v>0.76300000000000001</v>
      </c>
      <c r="M104" s="36">
        <v>4.8010000000000002</v>
      </c>
      <c r="N104" s="36">
        <v>6.9870000000000001</v>
      </c>
      <c r="O104" s="36">
        <v>6.9870000000000001</v>
      </c>
      <c r="P104" s="36">
        <v>6.274</v>
      </c>
      <c r="Q104" s="36">
        <v>7.5949999999999998</v>
      </c>
      <c r="R104" s="36">
        <v>7.0919999999999996</v>
      </c>
      <c r="S104" s="36">
        <v>5.0810000000000004</v>
      </c>
      <c r="T104" s="36">
        <v>5.0810000000000004</v>
      </c>
      <c r="U104" s="130">
        <f t="shared" si="19"/>
        <v>5.0810000000000004</v>
      </c>
      <c r="V104" s="130">
        <f t="shared" si="19"/>
        <v>5.0810000000000004</v>
      </c>
      <c r="W104" s="130">
        <f t="shared" si="19"/>
        <v>5.0810000000000004</v>
      </c>
      <c r="X104" s="130">
        <f t="shared" si="19"/>
        <v>5.0810000000000004</v>
      </c>
      <c r="Y104" s="130">
        <f t="shared" si="18"/>
        <v>5.0810000000000004</v>
      </c>
      <c r="Z104" s="40"/>
      <c r="AA104" s="40"/>
      <c r="AB104" s="40"/>
      <c r="AC104" s="40"/>
      <c r="AD104" s="40"/>
      <c r="AI104" s="21"/>
      <c r="AJ104" s="21"/>
    </row>
    <row r="105" spans="3:36" s="20" customFormat="1" x14ac:dyDescent="0.2">
      <c r="C105" s="17" t="s">
        <v>271</v>
      </c>
      <c r="D105" s="17"/>
      <c r="E105" s="36">
        <v>0</v>
      </c>
      <c r="F105" s="36">
        <v>0</v>
      </c>
      <c r="G105" s="36">
        <v>29.146000000000001</v>
      </c>
      <c r="H105" s="36">
        <v>6.5170000000000003</v>
      </c>
      <c r="I105" s="36">
        <v>0</v>
      </c>
      <c r="J105" s="36">
        <v>0</v>
      </c>
      <c r="K105" s="36">
        <v>23.148</v>
      </c>
      <c r="L105" s="36">
        <v>0</v>
      </c>
      <c r="M105" s="36">
        <v>0</v>
      </c>
      <c r="N105" s="36">
        <v>0</v>
      </c>
      <c r="O105" s="36">
        <v>0</v>
      </c>
      <c r="P105" s="36">
        <v>0</v>
      </c>
      <c r="Q105" s="36">
        <v>0</v>
      </c>
      <c r="R105" s="36">
        <v>8.9849999999999994</v>
      </c>
      <c r="S105" s="36">
        <v>0</v>
      </c>
      <c r="T105" s="36">
        <v>0</v>
      </c>
      <c r="U105" s="130">
        <f t="shared" si="19"/>
        <v>0</v>
      </c>
      <c r="V105" s="130">
        <f t="shared" si="19"/>
        <v>0</v>
      </c>
      <c r="W105" s="130">
        <f t="shared" si="19"/>
        <v>0</v>
      </c>
      <c r="X105" s="130">
        <f t="shared" si="19"/>
        <v>0</v>
      </c>
      <c r="Y105" s="130">
        <f t="shared" si="18"/>
        <v>0</v>
      </c>
      <c r="Z105" s="40"/>
      <c r="AA105" s="40"/>
      <c r="AB105" s="40"/>
      <c r="AC105" s="40"/>
      <c r="AD105" s="40"/>
      <c r="AI105" s="21"/>
      <c r="AJ105" s="21"/>
    </row>
    <row r="106" spans="3:36" s="20" customFormat="1" x14ac:dyDescent="0.2">
      <c r="C106" s="32" t="s">
        <v>155</v>
      </c>
      <c r="D106" s="32"/>
      <c r="E106" s="33">
        <f t="shared" ref="E106:AD106" si="20">SUM(E97:E105)</f>
        <v>256.834</v>
      </c>
      <c r="F106" s="33">
        <f t="shared" si="20"/>
        <v>221.39999999999998</v>
      </c>
      <c r="G106" s="33">
        <f t="shared" si="20"/>
        <v>212.31000000000006</v>
      </c>
      <c r="H106" s="33">
        <f t="shared" si="20"/>
        <v>228.78099999999998</v>
      </c>
      <c r="I106" s="33">
        <f t="shared" si="20"/>
        <v>224.49900000000002</v>
      </c>
      <c r="J106" s="33">
        <f t="shared" si="20"/>
        <v>224.49900000000002</v>
      </c>
      <c r="K106" s="33">
        <f t="shared" si="20"/>
        <v>246.488</v>
      </c>
      <c r="L106" s="33">
        <f t="shared" si="20"/>
        <v>435.00299999999999</v>
      </c>
      <c r="M106" s="33">
        <f t="shared" si="20"/>
        <v>509.55</v>
      </c>
      <c r="N106" s="33">
        <f t="shared" si="20"/>
        <v>642.6149999999999</v>
      </c>
      <c r="O106" s="33">
        <f t="shared" si="20"/>
        <v>642.6149999999999</v>
      </c>
      <c r="P106" s="33">
        <f t="shared" si="20"/>
        <v>544.27099999999996</v>
      </c>
      <c r="Q106" s="33">
        <f t="shared" si="20"/>
        <v>559.68100000000004</v>
      </c>
      <c r="R106" s="33">
        <f t="shared" si="20"/>
        <v>473.875</v>
      </c>
      <c r="S106" s="33">
        <f t="shared" si="20"/>
        <v>464.97999999999996</v>
      </c>
      <c r="T106" s="33">
        <f>SUM(T97:T105)</f>
        <v>464.97999999999996</v>
      </c>
      <c r="U106" s="33">
        <f t="shared" si="20"/>
        <v>502.94152999999989</v>
      </c>
      <c r="V106" s="33">
        <f t="shared" si="20"/>
        <v>572.58078116958427</v>
      </c>
      <c r="W106" s="33">
        <f t="shared" si="20"/>
        <v>611.84371309130188</v>
      </c>
      <c r="X106" s="33">
        <f t="shared" si="20"/>
        <v>700.88545381004212</v>
      </c>
      <c r="Y106" s="33">
        <f t="shared" si="20"/>
        <v>700.88545381004212</v>
      </c>
      <c r="Z106" s="33">
        <f t="shared" si="20"/>
        <v>0</v>
      </c>
      <c r="AA106" s="33">
        <f t="shared" si="20"/>
        <v>0</v>
      </c>
      <c r="AB106" s="33">
        <f t="shared" si="20"/>
        <v>0</v>
      </c>
      <c r="AC106" s="33">
        <f t="shared" si="20"/>
        <v>0</v>
      </c>
      <c r="AD106" s="33">
        <f t="shared" si="20"/>
        <v>0</v>
      </c>
      <c r="AI106" s="21"/>
      <c r="AJ106" s="21"/>
    </row>
    <row r="107" spans="3:36" s="20" customFormat="1" ht="5.0999999999999996" customHeight="1" x14ac:dyDescent="0.2">
      <c r="C107" s="17"/>
      <c r="D107" s="17"/>
      <c r="E107" s="37"/>
      <c r="F107" s="37"/>
      <c r="G107" s="37"/>
      <c r="H107" s="37"/>
      <c r="I107" s="37"/>
      <c r="J107" s="37"/>
      <c r="K107" s="37"/>
      <c r="L107" s="37"/>
      <c r="M107" s="37"/>
      <c r="N107" s="37"/>
      <c r="O107" s="37"/>
      <c r="P107" s="37"/>
      <c r="Q107" s="37"/>
      <c r="R107" s="37"/>
      <c r="AI107" s="21"/>
      <c r="AJ107" s="21"/>
    </row>
    <row r="108" spans="3:36" s="20" customFormat="1" x14ac:dyDescent="0.2">
      <c r="C108" s="17" t="s">
        <v>272</v>
      </c>
      <c r="D108" s="17"/>
      <c r="E108" s="34">
        <v>10.253</v>
      </c>
      <c r="F108" s="34">
        <v>8.9160000000000004</v>
      </c>
      <c r="G108" s="34">
        <v>7.5410000000000004</v>
      </c>
      <c r="H108" s="34">
        <v>13.113</v>
      </c>
      <c r="I108" s="34">
        <v>12.522</v>
      </c>
      <c r="J108" s="34">
        <v>12.522</v>
      </c>
      <c r="K108" s="34">
        <v>10.814</v>
      </c>
      <c r="L108" s="34">
        <v>9.1720000000000006</v>
      </c>
      <c r="M108" s="34">
        <v>8.0869999999999997</v>
      </c>
      <c r="N108" s="34">
        <v>7.74</v>
      </c>
      <c r="O108" s="34">
        <v>7.74</v>
      </c>
      <c r="P108" s="34">
        <v>7.7380000000000004</v>
      </c>
      <c r="Q108" s="34">
        <v>7.5389999999999997</v>
      </c>
      <c r="R108" s="34">
        <v>14.021000000000001</v>
      </c>
      <c r="S108" s="34">
        <v>11.631</v>
      </c>
      <c r="T108" s="34">
        <v>11.631</v>
      </c>
      <c r="U108" s="130">
        <f t="shared" ref="U108:Y111" si="21">+T108</f>
        <v>11.631</v>
      </c>
      <c r="V108" s="130">
        <f t="shared" si="21"/>
        <v>11.631</v>
      </c>
      <c r="W108" s="130">
        <f t="shared" si="21"/>
        <v>11.631</v>
      </c>
      <c r="X108" s="130">
        <f t="shared" si="21"/>
        <v>11.631</v>
      </c>
      <c r="Y108" s="130">
        <f t="shared" si="21"/>
        <v>11.631</v>
      </c>
      <c r="Z108" s="40"/>
      <c r="AA108" s="40"/>
      <c r="AB108" s="40"/>
      <c r="AC108" s="40"/>
      <c r="AD108" s="40"/>
      <c r="AI108" s="21"/>
      <c r="AJ108" s="21"/>
    </row>
    <row r="109" spans="3:36" s="20" customFormat="1" x14ac:dyDescent="0.2">
      <c r="C109" s="17" t="s">
        <v>273</v>
      </c>
      <c r="D109" s="17"/>
      <c r="E109" s="34">
        <v>474.33199999999999</v>
      </c>
      <c r="F109" s="34">
        <v>459.45100000000002</v>
      </c>
      <c r="G109" s="34">
        <v>444.56599999999997</v>
      </c>
      <c r="H109" s="34">
        <v>887.673</v>
      </c>
      <c r="I109" s="34">
        <v>926.27</v>
      </c>
      <c r="J109" s="34">
        <v>926.27</v>
      </c>
      <c r="K109" s="34">
        <v>943.03200000000004</v>
      </c>
      <c r="L109" s="34">
        <v>912.9</v>
      </c>
      <c r="M109" s="34">
        <v>900.50900000000001</v>
      </c>
      <c r="N109" s="34">
        <v>860.57799999999997</v>
      </c>
      <c r="O109" s="34">
        <v>860.57799999999997</v>
      </c>
      <c r="P109" s="34">
        <v>777.154</v>
      </c>
      <c r="Q109" s="34">
        <v>778.26599999999996</v>
      </c>
      <c r="R109" s="34">
        <v>706.99900000000002</v>
      </c>
      <c r="S109" s="34">
        <v>595.22900000000004</v>
      </c>
      <c r="T109" s="34">
        <v>595.22900000000004</v>
      </c>
      <c r="U109" s="40">
        <f>+T109+T117+U64</f>
        <v>690.67600000000004</v>
      </c>
      <c r="V109" s="40">
        <f>+U109+U117+V64</f>
        <v>659.34266666666667</v>
      </c>
      <c r="W109" s="40">
        <f>+V109+V117+W64</f>
        <v>628.0093333333333</v>
      </c>
      <c r="X109" s="40">
        <f>+W109+W117+X64</f>
        <v>596.67599999999993</v>
      </c>
      <c r="Y109" s="130">
        <f t="shared" si="21"/>
        <v>596.67599999999993</v>
      </c>
      <c r="Z109" s="40"/>
      <c r="AA109" s="40"/>
      <c r="AB109" s="40"/>
      <c r="AC109" s="40"/>
      <c r="AD109" s="40"/>
      <c r="AI109" s="21"/>
      <c r="AJ109" s="21"/>
    </row>
    <row r="110" spans="3:36" s="20" customFormat="1" x14ac:dyDescent="0.2">
      <c r="C110" s="17" t="s">
        <v>274</v>
      </c>
      <c r="D110" s="17"/>
      <c r="E110" s="34">
        <v>6.1550000000000002</v>
      </c>
      <c r="F110" s="34">
        <v>4.0659999999999998</v>
      </c>
      <c r="G110" s="34">
        <v>3.782</v>
      </c>
      <c r="H110" s="34">
        <v>2.6779999999999999</v>
      </c>
      <c r="I110" s="34">
        <v>0.75700000000000001</v>
      </c>
      <c r="J110" s="34">
        <v>0.75700000000000001</v>
      </c>
      <c r="K110" s="34">
        <v>0</v>
      </c>
      <c r="L110" s="34">
        <v>0.52900000000000003</v>
      </c>
      <c r="M110" s="34">
        <v>0</v>
      </c>
      <c r="N110" s="34">
        <v>0</v>
      </c>
      <c r="O110" s="34">
        <v>0</v>
      </c>
      <c r="P110" s="34">
        <v>0</v>
      </c>
      <c r="Q110" s="34">
        <v>0</v>
      </c>
      <c r="R110" s="34">
        <v>0</v>
      </c>
      <c r="S110" s="34">
        <v>0</v>
      </c>
      <c r="T110" s="34">
        <v>0</v>
      </c>
      <c r="U110" s="130">
        <f t="shared" si="21"/>
        <v>0</v>
      </c>
      <c r="V110" s="130">
        <f t="shared" si="21"/>
        <v>0</v>
      </c>
      <c r="W110" s="130">
        <f t="shared" si="21"/>
        <v>0</v>
      </c>
      <c r="X110" s="130">
        <f t="shared" si="21"/>
        <v>0</v>
      </c>
      <c r="Y110" s="130">
        <f t="shared" si="21"/>
        <v>0</v>
      </c>
      <c r="Z110" s="40"/>
      <c r="AA110" s="40"/>
      <c r="AB110" s="40"/>
      <c r="AC110" s="40"/>
      <c r="AD110" s="40"/>
      <c r="AI110" s="21"/>
      <c r="AJ110" s="21"/>
    </row>
    <row r="111" spans="3:36" s="20" customFormat="1" x14ac:dyDescent="0.2">
      <c r="C111" s="17" t="s">
        <v>275</v>
      </c>
      <c r="D111" s="17"/>
      <c r="E111" s="34">
        <v>14.861000000000001</v>
      </c>
      <c r="F111" s="34">
        <v>14.129</v>
      </c>
      <c r="G111" s="34">
        <v>13.41</v>
      </c>
      <c r="H111" s="34">
        <v>12.701000000000001</v>
      </c>
      <c r="I111" s="34">
        <v>2.2879999999999998</v>
      </c>
      <c r="J111" s="34">
        <v>2.2879999999999998</v>
      </c>
      <c r="K111" s="34">
        <v>2.0230000000000001</v>
      </c>
      <c r="L111" s="34">
        <v>1.59</v>
      </c>
      <c r="M111" s="34">
        <v>1.5940000000000001</v>
      </c>
      <c r="N111" s="34">
        <v>1.875</v>
      </c>
      <c r="O111" s="34">
        <v>1.875</v>
      </c>
      <c r="P111" s="34">
        <v>1.877</v>
      </c>
      <c r="Q111" s="34">
        <v>2.2959999999999998</v>
      </c>
      <c r="R111" s="34">
        <v>2.5880000000000001</v>
      </c>
      <c r="S111" s="34">
        <v>2.6280000000000001</v>
      </c>
      <c r="T111" s="34">
        <v>2.6280000000000001</v>
      </c>
      <c r="U111" s="130">
        <f t="shared" si="21"/>
        <v>2.6280000000000001</v>
      </c>
      <c r="V111" s="130">
        <f t="shared" si="21"/>
        <v>2.6280000000000001</v>
      </c>
      <c r="W111" s="130">
        <f t="shared" si="21"/>
        <v>2.6280000000000001</v>
      </c>
      <c r="X111" s="130">
        <f t="shared" si="21"/>
        <v>2.6280000000000001</v>
      </c>
      <c r="Y111" s="130">
        <f t="shared" si="21"/>
        <v>2.6280000000000001</v>
      </c>
      <c r="Z111" s="40"/>
      <c r="AA111" s="40"/>
      <c r="AB111" s="40"/>
      <c r="AC111" s="40"/>
      <c r="AD111" s="40"/>
      <c r="AI111" s="21"/>
      <c r="AJ111" s="21"/>
    </row>
    <row r="112" spans="3:36" s="20" customFormat="1" x14ac:dyDescent="0.2">
      <c r="C112" s="32" t="s">
        <v>160</v>
      </c>
      <c r="D112" s="32"/>
      <c r="E112" s="33">
        <f t="shared" ref="E112:AD112" si="22">SUM(E108:E111)</f>
        <v>505.60099999999994</v>
      </c>
      <c r="F112" s="33">
        <f t="shared" si="22"/>
        <v>486.56200000000001</v>
      </c>
      <c r="G112" s="33">
        <f t="shared" si="22"/>
        <v>469.29899999999998</v>
      </c>
      <c r="H112" s="33">
        <f t="shared" si="22"/>
        <v>916.16500000000008</v>
      </c>
      <c r="I112" s="33">
        <f t="shared" si="22"/>
        <v>941.83699999999999</v>
      </c>
      <c r="J112" s="33">
        <f t="shared" si="22"/>
        <v>941.83699999999999</v>
      </c>
      <c r="K112" s="33">
        <f t="shared" si="22"/>
        <v>955.86900000000003</v>
      </c>
      <c r="L112" s="33">
        <f t="shared" si="22"/>
        <v>924.19100000000003</v>
      </c>
      <c r="M112" s="33">
        <f t="shared" si="22"/>
        <v>910.19</v>
      </c>
      <c r="N112" s="33">
        <f t="shared" si="22"/>
        <v>870.19299999999998</v>
      </c>
      <c r="O112" s="33">
        <f t="shared" si="22"/>
        <v>870.19299999999998</v>
      </c>
      <c r="P112" s="33">
        <f t="shared" si="22"/>
        <v>786.76900000000001</v>
      </c>
      <c r="Q112" s="33">
        <f t="shared" si="22"/>
        <v>788.101</v>
      </c>
      <c r="R112" s="33">
        <f t="shared" si="22"/>
        <v>723.60799999999995</v>
      </c>
      <c r="S112" s="33">
        <f t="shared" si="22"/>
        <v>609.48800000000006</v>
      </c>
      <c r="T112" s="33">
        <f>SUM(T108:T111)</f>
        <v>609.48800000000006</v>
      </c>
      <c r="U112" s="33">
        <f t="shared" si="22"/>
        <v>704.93500000000006</v>
      </c>
      <c r="V112" s="33">
        <f t="shared" si="22"/>
        <v>673.60166666666669</v>
      </c>
      <c r="W112" s="33">
        <f t="shared" si="22"/>
        <v>642.26833333333332</v>
      </c>
      <c r="X112" s="33">
        <f t="shared" si="22"/>
        <v>610.93499999999995</v>
      </c>
      <c r="Y112" s="33">
        <f t="shared" si="22"/>
        <v>610.93499999999995</v>
      </c>
      <c r="Z112" s="33">
        <f t="shared" si="22"/>
        <v>0</v>
      </c>
      <c r="AA112" s="33">
        <f t="shared" si="22"/>
        <v>0</v>
      </c>
      <c r="AB112" s="33">
        <f t="shared" si="22"/>
        <v>0</v>
      </c>
      <c r="AC112" s="33">
        <f t="shared" si="22"/>
        <v>0</v>
      </c>
      <c r="AD112" s="33">
        <f t="shared" si="22"/>
        <v>0</v>
      </c>
      <c r="AI112" s="21"/>
      <c r="AJ112" s="21"/>
    </row>
    <row r="113" spans="3:36" s="20" customFormat="1" ht="5.0999999999999996" customHeight="1" x14ac:dyDescent="0.2">
      <c r="C113" s="17"/>
      <c r="D113" s="17"/>
      <c r="E113" s="37"/>
      <c r="F113" s="37"/>
      <c r="G113" s="37"/>
      <c r="H113" s="37"/>
      <c r="I113" s="37"/>
      <c r="J113" s="37"/>
      <c r="K113" s="37"/>
      <c r="L113" s="37"/>
      <c r="M113" s="37"/>
      <c r="N113" s="37"/>
      <c r="O113" s="37"/>
      <c r="P113" s="37"/>
      <c r="Q113" s="37"/>
      <c r="R113" s="37"/>
      <c r="AI113" s="21"/>
      <c r="AJ113" s="21"/>
    </row>
    <row r="114" spans="3:36" s="20" customFormat="1" x14ac:dyDescent="0.2">
      <c r="C114" s="17" t="s">
        <v>276</v>
      </c>
      <c r="D114" s="17"/>
      <c r="E114" s="34">
        <v>34.424999999999997</v>
      </c>
      <c r="F114" s="34">
        <v>24.547000000000001</v>
      </c>
      <c r="G114" s="34">
        <v>29.452999999999999</v>
      </c>
      <c r="H114" s="34">
        <v>49.087000000000003</v>
      </c>
      <c r="I114" s="34">
        <v>44.963999999999999</v>
      </c>
      <c r="J114" s="34">
        <v>44.963999999999999</v>
      </c>
      <c r="K114" s="34">
        <v>56.116</v>
      </c>
      <c r="L114" s="34">
        <v>38.237000000000002</v>
      </c>
      <c r="M114" s="34">
        <v>45.593000000000004</v>
      </c>
      <c r="N114" s="34">
        <v>51.069000000000003</v>
      </c>
      <c r="O114" s="34">
        <v>51.069000000000003</v>
      </c>
      <c r="P114" s="34">
        <v>53.197000000000003</v>
      </c>
      <c r="Q114" s="34">
        <v>47.043999999999997</v>
      </c>
      <c r="R114" s="34">
        <v>42.85</v>
      </c>
      <c r="S114" s="34">
        <v>57.904000000000003</v>
      </c>
      <c r="T114" s="34">
        <v>57.904000000000003</v>
      </c>
      <c r="U114" s="130">
        <f t="shared" ref="U114:Y117" si="23">+T114</f>
        <v>57.904000000000003</v>
      </c>
      <c r="V114" s="130">
        <f t="shared" si="23"/>
        <v>57.904000000000003</v>
      </c>
      <c r="W114" s="130">
        <f t="shared" si="23"/>
        <v>57.904000000000003</v>
      </c>
      <c r="X114" s="130">
        <f t="shared" si="23"/>
        <v>57.904000000000003</v>
      </c>
      <c r="Y114" s="130">
        <f t="shared" si="23"/>
        <v>57.904000000000003</v>
      </c>
      <c r="Z114" s="40"/>
      <c r="AA114" s="40"/>
      <c r="AB114" s="40"/>
      <c r="AC114" s="40"/>
      <c r="AD114" s="40"/>
      <c r="AI114" s="21"/>
      <c r="AJ114" s="21"/>
    </row>
    <row r="115" spans="3:36" s="20" customFormat="1" x14ac:dyDescent="0.2">
      <c r="C115" s="17" t="s">
        <v>277</v>
      </c>
      <c r="D115" s="17"/>
      <c r="E115" s="34">
        <v>8.8670000000000009</v>
      </c>
      <c r="F115" s="34">
        <v>7.7809999999999997</v>
      </c>
      <c r="G115" s="34">
        <v>7.226</v>
      </c>
      <c r="H115" s="34">
        <v>6.7140000000000004</v>
      </c>
      <c r="I115" s="34">
        <v>8.3930000000000007</v>
      </c>
      <c r="J115" s="34">
        <v>8.3930000000000007</v>
      </c>
      <c r="K115" s="34">
        <v>10.766999999999999</v>
      </c>
      <c r="L115" s="34">
        <v>9.875</v>
      </c>
      <c r="M115" s="34">
        <v>8.3230000000000004</v>
      </c>
      <c r="N115" s="34">
        <v>1.5960000000000001</v>
      </c>
      <c r="O115" s="34">
        <v>1.5960000000000001</v>
      </c>
      <c r="P115" s="34">
        <v>0.43</v>
      </c>
      <c r="Q115" s="34">
        <v>0.45200000000000001</v>
      </c>
      <c r="R115" s="34">
        <v>9.7840000000000007</v>
      </c>
      <c r="S115" s="34">
        <v>10.223000000000001</v>
      </c>
      <c r="T115" s="34">
        <v>10.223000000000001</v>
      </c>
      <c r="U115" s="130">
        <f t="shared" si="23"/>
        <v>10.223000000000001</v>
      </c>
      <c r="V115" s="130">
        <f t="shared" si="23"/>
        <v>10.223000000000001</v>
      </c>
      <c r="W115" s="130">
        <f t="shared" si="23"/>
        <v>10.223000000000001</v>
      </c>
      <c r="X115" s="130">
        <f t="shared" si="23"/>
        <v>10.223000000000001</v>
      </c>
      <c r="Y115" s="130">
        <f t="shared" si="23"/>
        <v>10.223000000000001</v>
      </c>
      <c r="Z115" s="40"/>
      <c r="AA115" s="40"/>
      <c r="AB115" s="40"/>
      <c r="AC115" s="40"/>
      <c r="AD115" s="40"/>
      <c r="AI115" s="21"/>
      <c r="AJ115" s="21"/>
    </row>
    <row r="116" spans="3:36" s="20" customFormat="1" x14ac:dyDescent="0.2">
      <c r="C116" s="17" t="s">
        <v>278</v>
      </c>
      <c r="D116" s="17"/>
      <c r="E116" s="34">
        <v>0</v>
      </c>
      <c r="F116" s="34">
        <v>0</v>
      </c>
      <c r="G116" s="34">
        <v>0</v>
      </c>
      <c r="H116" s="34">
        <v>0</v>
      </c>
      <c r="I116" s="34">
        <v>0</v>
      </c>
      <c r="J116" s="34">
        <v>0</v>
      </c>
      <c r="K116" s="34">
        <v>0</v>
      </c>
      <c r="L116" s="34">
        <v>0</v>
      </c>
      <c r="M116" s="34">
        <v>0</v>
      </c>
      <c r="N116" s="34">
        <v>41.87</v>
      </c>
      <c r="O116" s="34">
        <v>41.87</v>
      </c>
      <c r="P116" s="34">
        <v>18.326000000000001</v>
      </c>
      <c r="Q116" s="34">
        <v>0</v>
      </c>
      <c r="R116" s="34">
        <v>0</v>
      </c>
      <c r="S116" s="34">
        <v>0</v>
      </c>
      <c r="T116" s="34">
        <v>0</v>
      </c>
      <c r="U116" s="130">
        <f t="shared" si="23"/>
        <v>0</v>
      </c>
      <c r="V116" s="130">
        <f t="shared" si="23"/>
        <v>0</v>
      </c>
      <c r="W116" s="130">
        <f t="shared" si="23"/>
        <v>0</v>
      </c>
      <c r="X116" s="130">
        <f t="shared" si="23"/>
        <v>0</v>
      </c>
      <c r="Y116" s="130">
        <f t="shared" si="23"/>
        <v>0</v>
      </c>
      <c r="Z116" s="40"/>
      <c r="AA116" s="40"/>
      <c r="AB116" s="40"/>
      <c r="AC116" s="40"/>
      <c r="AD116" s="40"/>
      <c r="AI116" s="21"/>
      <c r="AJ116" s="21"/>
    </row>
    <row r="117" spans="3:36" s="20" customFormat="1" x14ac:dyDescent="0.2">
      <c r="C117" s="17" t="s">
        <v>279</v>
      </c>
      <c r="D117" s="17"/>
      <c r="E117" s="34">
        <v>61.482999999999997</v>
      </c>
      <c r="F117" s="34">
        <v>61.482999999999997</v>
      </c>
      <c r="G117" s="34">
        <v>61.482999999999997</v>
      </c>
      <c r="H117" s="34">
        <v>220.80500000000001</v>
      </c>
      <c r="I117" s="34">
        <v>178.715</v>
      </c>
      <c r="J117" s="34">
        <v>178.715</v>
      </c>
      <c r="K117" s="34">
        <v>178.39099999999999</v>
      </c>
      <c r="L117" s="34">
        <v>160.79</v>
      </c>
      <c r="M117" s="34">
        <v>166.965</v>
      </c>
      <c r="N117" s="34">
        <v>162.85400000000001</v>
      </c>
      <c r="O117" s="34">
        <v>162.85400000000001</v>
      </c>
      <c r="P117" s="34">
        <v>155.52500000000001</v>
      </c>
      <c r="Q117" s="34">
        <v>199.785</v>
      </c>
      <c r="R117" s="34">
        <v>134.703</v>
      </c>
      <c r="S117" s="34">
        <v>127.447</v>
      </c>
      <c r="T117" s="34">
        <v>127.447</v>
      </c>
      <c r="U117" s="40">
        <v>0</v>
      </c>
      <c r="V117" s="40">
        <v>0</v>
      </c>
      <c r="W117" s="40">
        <v>0</v>
      </c>
      <c r="X117" s="40">
        <v>0</v>
      </c>
      <c r="Y117" s="130">
        <f t="shared" si="23"/>
        <v>0</v>
      </c>
      <c r="Z117" s="40"/>
      <c r="AA117" s="40"/>
      <c r="AB117" s="40"/>
      <c r="AC117" s="40"/>
      <c r="AD117" s="40"/>
      <c r="AI117" s="21"/>
      <c r="AJ117" s="21"/>
    </row>
    <row r="118" spans="3:36" s="20" customFormat="1" x14ac:dyDescent="0.2">
      <c r="C118" s="17" t="s">
        <v>280</v>
      </c>
      <c r="D118" s="17"/>
      <c r="E118" s="34">
        <v>4.1210000000000004</v>
      </c>
      <c r="F118" s="34">
        <v>3.9159999999999999</v>
      </c>
      <c r="G118" s="34">
        <v>3.95</v>
      </c>
      <c r="H118" s="34">
        <v>4.3310000000000004</v>
      </c>
      <c r="I118" s="34">
        <v>2.5390000000000001</v>
      </c>
      <c r="J118" s="34">
        <v>2.5390000000000001</v>
      </c>
      <c r="K118" s="34">
        <v>0</v>
      </c>
      <c r="L118" s="34">
        <v>0</v>
      </c>
      <c r="M118" s="34">
        <v>0</v>
      </c>
      <c r="N118" s="34">
        <v>0</v>
      </c>
      <c r="O118" s="34">
        <v>0</v>
      </c>
      <c r="P118" s="34">
        <v>0</v>
      </c>
      <c r="Q118" s="34">
        <v>0</v>
      </c>
      <c r="R118" s="34">
        <v>0</v>
      </c>
      <c r="S118" s="34">
        <v>0</v>
      </c>
      <c r="T118" s="34">
        <v>0</v>
      </c>
      <c r="U118" s="130">
        <f>+T118</f>
        <v>0</v>
      </c>
      <c r="V118" s="130">
        <f>+U118</f>
        <v>0</v>
      </c>
      <c r="W118" s="130">
        <f>+V118</f>
        <v>0</v>
      </c>
      <c r="X118" s="130">
        <f>+W118</f>
        <v>0</v>
      </c>
      <c r="Y118" s="130">
        <f>+X118</f>
        <v>0</v>
      </c>
      <c r="Z118" s="40"/>
      <c r="AA118" s="40"/>
      <c r="AB118" s="40"/>
      <c r="AC118" s="40"/>
      <c r="AD118" s="40"/>
      <c r="AI118" s="21"/>
      <c r="AJ118" s="21"/>
    </row>
    <row r="119" spans="3:36" s="20" customFormat="1" x14ac:dyDescent="0.2">
      <c r="C119" s="32" t="s">
        <v>163</v>
      </c>
      <c r="D119" s="32"/>
      <c r="E119" s="33">
        <f t="shared" ref="E119:AD119" si="24">SUM(E114:E118)</f>
        <v>108.896</v>
      </c>
      <c r="F119" s="33">
        <f t="shared" si="24"/>
        <v>97.727000000000004</v>
      </c>
      <c r="G119" s="33">
        <f t="shared" si="24"/>
        <v>102.11200000000001</v>
      </c>
      <c r="H119" s="33">
        <f t="shared" si="24"/>
        <v>280.93700000000001</v>
      </c>
      <c r="I119" s="33">
        <f t="shared" si="24"/>
        <v>234.61099999999999</v>
      </c>
      <c r="J119" s="33">
        <f t="shared" si="24"/>
        <v>234.61099999999999</v>
      </c>
      <c r="K119" s="33">
        <f t="shared" si="24"/>
        <v>245.274</v>
      </c>
      <c r="L119" s="33">
        <f t="shared" si="24"/>
        <v>208.90199999999999</v>
      </c>
      <c r="M119" s="33">
        <f t="shared" si="24"/>
        <v>220.881</v>
      </c>
      <c r="N119" s="33">
        <f t="shared" si="24"/>
        <v>257.38900000000001</v>
      </c>
      <c r="O119" s="33">
        <f t="shared" si="24"/>
        <v>257.38900000000001</v>
      </c>
      <c r="P119" s="33">
        <f t="shared" si="24"/>
        <v>227.47800000000001</v>
      </c>
      <c r="Q119" s="33">
        <f t="shared" si="24"/>
        <v>247.28100000000001</v>
      </c>
      <c r="R119" s="33">
        <f t="shared" si="24"/>
        <v>187.33699999999999</v>
      </c>
      <c r="S119" s="33">
        <f t="shared" si="24"/>
        <v>195.57400000000001</v>
      </c>
      <c r="T119" s="33">
        <f>SUM(T114:T118)</f>
        <v>195.57400000000001</v>
      </c>
      <c r="U119" s="33">
        <f t="shared" si="24"/>
        <v>68.12700000000001</v>
      </c>
      <c r="V119" s="33">
        <f t="shared" si="24"/>
        <v>68.12700000000001</v>
      </c>
      <c r="W119" s="33">
        <f t="shared" si="24"/>
        <v>68.12700000000001</v>
      </c>
      <c r="X119" s="33">
        <f t="shared" si="24"/>
        <v>68.12700000000001</v>
      </c>
      <c r="Y119" s="33">
        <f t="shared" si="24"/>
        <v>68.12700000000001</v>
      </c>
      <c r="Z119" s="33">
        <f t="shared" si="24"/>
        <v>0</v>
      </c>
      <c r="AA119" s="33">
        <f t="shared" si="24"/>
        <v>0</v>
      </c>
      <c r="AB119" s="33">
        <f t="shared" si="24"/>
        <v>0</v>
      </c>
      <c r="AC119" s="33">
        <f t="shared" si="24"/>
        <v>0</v>
      </c>
      <c r="AD119" s="33">
        <f t="shared" si="24"/>
        <v>0</v>
      </c>
      <c r="AI119" s="21"/>
      <c r="AJ119" s="21"/>
    </row>
    <row r="120" spans="3:36" s="20" customFormat="1" ht="5.0999999999999996" customHeight="1" x14ac:dyDescent="0.2">
      <c r="C120" s="17"/>
      <c r="D120" s="17"/>
      <c r="E120" s="37"/>
      <c r="F120" s="37"/>
      <c r="G120" s="37"/>
      <c r="H120" s="37"/>
      <c r="I120" s="37"/>
      <c r="J120" s="37"/>
      <c r="K120" s="37"/>
      <c r="L120" s="37"/>
      <c r="M120" s="37"/>
      <c r="N120" s="37"/>
      <c r="O120" s="37"/>
      <c r="P120" s="37"/>
      <c r="Q120" s="37"/>
      <c r="R120" s="37"/>
      <c r="AI120" s="21"/>
      <c r="AJ120" s="21"/>
    </row>
    <row r="121" spans="3:36" s="20" customFormat="1" x14ac:dyDescent="0.2">
      <c r="C121" s="32" t="s">
        <v>164</v>
      </c>
      <c r="D121" s="32"/>
      <c r="E121" s="41">
        <v>972.04200000000003</v>
      </c>
      <c r="F121" s="41">
        <v>967.76300000000003</v>
      </c>
      <c r="G121" s="41">
        <v>947.45399999999995</v>
      </c>
      <c r="H121" s="41">
        <v>1244.731</v>
      </c>
      <c r="I121" s="41">
        <v>1170.3320000000001</v>
      </c>
      <c r="J121" s="41">
        <v>1170.3320000000001</v>
      </c>
      <c r="K121" s="41">
        <v>1165.45</v>
      </c>
      <c r="L121" s="41">
        <v>1231.1479999999999</v>
      </c>
      <c r="M121" s="41">
        <v>1328.8320000000001</v>
      </c>
      <c r="N121" s="41">
        <v>1487.752</v>
      </c>
      <c r="O121" s="41">
        <v>1487.752</v>
      </c>
      <c r="P121" s="41">
        <v>1557.2829999999999</v>
      </c>
      <c r="Q121" s="41">
        <v>1620.2739999999999</v>
      </c>
      <c r="R121" s="41">
        <v>1650.077</v>
      </c>
      <c r="S121" s="41">
        <v>1716.7570000000001</v>
      </c>
      <c r="T121" s="41">
        <v>1716.7570000000001</v>
      </c>
      <c r="U121" s="33">
        <f>+T121+U28+U72</f>
        <v>1771.7185300000001</v>
      </c>
      <c r="V121" s="33">
        <f>+U121+V28+V72</f>
        <v>1849.8577811695845</v>
      </c>
      <c r="W121" s="33">
        <f>+V121+W28+W72</f>
        <v>1897.6207130913022</v>
      </c>
      <c r="X121" s="33">
        <f>+W121+X28+X72</f>
        <v>1995.1624538100427</v>
      </c>
      <c r="Y121" s="33">
        <f>+X121</f>
        <v>1995.1624538100427</v>
      </c>
      <c r="Z121" s="33"/>
      <c r="AA121" s="33"/>
      <c r="AB121" s="33"/>
      <c r="AC121" s="33"/>
      <c r="AD121" s="33"/>
      <c r="AI121" s="21"/>
      <c r="AJ121" s="21"/>
    </row>
    <row r="122" spans="3:36" s="20" customFormat="1" x14ac:dyDescent="0.2">
      <c r="C122" s="17" t="s">
        <v>165</v>
      </c>
      <c r="D122" s="17"/>
      <c r="E122" s="37">
        <f t="shared" ref="E122:AD122" si="25">ROUNDDOWN(+E95+E106-E112-E119-E121,2)</f>
        <v>0</v>
      </c>
      <c r="F122" s="37">
        <f t="shared" si="25"/>
        <v>0</v>
      </c>
      <c r="G122" s="37">
        <f t="shared" si="25"/>
        <v>0</v>
      </c>
      <c r="H122" s="37">
        <f t="shared" si="25"/>
        <v>0</v>
      </c>
      <c r="I122" s="37">
        <f t="shared" si="25"/>
        <v>0</v>
      </c>
      <c r="J122" s="37">
        <f t="shared" si="25"/>
        <v>0</v>
      </c>
      <c r="K122" s="37">
        <f t="shared" si="25"/>
        <v>0</v>
      </c>
      <c r="L122" s="37">
        <f t="shared" si="25"/>
        <v>0</v>
      </c>
      <c r="M122" s="37">
        <f t="shared" si="25"/>
        <v>0</v>
      </c>
      <c r="N122" s="37">
        <f t="shared" si="25"/>
        <v>0</v>
      </c>
      <c r="O122" s="37">
        <f t="shared" si="25"/>
        <v>0</v>
      </c>
      <c r="P122" s="37">
        <f t="shared" si="25"/>
        <v>0</v>
      </c>
      <c r="Q122" s="37">
        <f t="shared" si="25"/>
        <v>0</v>
      </c>
      <c r="R122" s="37">
        <f t="shared" si="25"/>
        <v>0</v>
      </c>
      <c r="S122" s="37">
        <f t="shared" si="25"/>
        <v>0</v>
      </c>
      <c r="T122" s="37">
        <f>ROUNDDOWN(+T95+T106-T112-T119-T121,2)</f>
        <v>0</v>
      </c>
      <c r="U122" s="37">
        <f t="shared" si="25"/>
        <v>0</v>
      </c>
      <c r="V122" s="37">
        <f t="shared" si="25"/>
        <v>0</v>
      </c>
      <c r="W122" s="37">
        <f t="shared" si="25"/>
        <v>0</v>
      </c>
      <c r="X122" s="37">
        <f t="shared" si="25"/>
        <v>0</v>
      </c>
      <c r="Y122" s="37">
        <f t="shared" si="25"/>
        <v>0</v>
      </c>
      <c r="Z122" s="37">
        <f t="shared" si="25"/>
        <v>0</v>
      </c>
      <c r="AA122" s="37">
        <f t="shared" si="25"/>
        <v>0</v>
      </c>
      <c r="AB122" s="37">
        <f t="shared" si="25"/>
        <v>0</v>
      </c>
      <c r="AC122" s="37">
        <f t="shared" si="25"/>
        <v>0</v>
      </c>
      <c r="AD122" s="37">
        <f t="shared" si="25"/>
        <v>0</v>
      </c>
      <c r="AI122" s="21"/>
      <c r="AJ122" s="21"/>
    </row>
    <row r="123" spans="3:36" s="20" customFormat="1" ht="5.0999999999999996" customHeight="1" x14ac:dyDescent="0.2">
      <c r="C123" s="17"/>
      <c r="D123" s="17"/>
      <c r="E123" s="37"/>
      <c r="F123" s="37"/>
      <c r="G123" s="37"/>
      <c r="H123" s="37"/>
      <c r="I123" s="37"/>
      <c r="J123" s="37"/>
      <c r="K123" s="37"/>
      <c r="L123" s="37"/>
      <c r="M123" s="37"/>
      <c r="N123" s="37"/>
      <c r="O123" s="37"/>
      <c r="P123" s="37"/>
      <c r="Q123" s="37"/>
      <c r="R123" s="37"/>
      <c r="AI123" s="21"/>
      <c r="AJ123" s="21"/>
    </row>
    <row r="124" spans="3:36" s="20" customFormat="1" x14ac:dyDescent="0.2">
      <c r="C124" s="30" t="s">
        <v>166</v>
      </c>
      <c r="D124" s="30"/>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I124" s="21"/>
      <c r="AJ124" s="21"/>
    </row>
    <row r="125" spans="3:36" s="20" customFormat="1" x14ac:dyDescent="0.2">
      <c r="C125" s="17" t="s">
        <v>93</v>
      </c>
      <c r="D125" s="17"/>
      <c r="E125" s="38">
        <f t="shared" ref="E125:T125" si="26">+E28/E126</f>
        <v>-0.19494314451997641</v>
      </c>
      <c r="F125" s="38">
        <f t="shared" si="26"/>
        <v>-0.47691579465536732</v>
      </c>
      <c r="G125" s="38">
        <f t="shared" si="26"/>
        <v>-0.66957921564514655</v>
      </c>
      <c r="H125" s="38">
        <f t="shared" si="26"/>
        <v>-1.4359556672779512</v>
      </c>
      <c r="I125" s="38">
        <f t="shared" si="26"/>
        <v>-0.67565038654409426</v>
      </c>
      <c r="J125" s="38">
        <f t="shared" si="26"/>
        <v>-3.4757199382914674</v>
      </c>
      <c r="K125" s="38">
        <f t="shared" si="26"/>
        <v>-0.26226849600606883</v>
      </c>
      <c r="L125" s="38">
        <f t="shared" si="26"/>
        <v>1.3840971971610727</v>
      </c>
      <c r="M125" s="38">
        <f t="shared" si="26"/>
        <v>2.2802284510400317</v>
      </c>
      <c r="N125" s="38">
        <f t="shared" si="26"/>
        <v>4.4020969498828348</v>
      </c>
      <c r="O125" s="38">
        <f t="shared" si="26"/>
        <v>7.8173401333476891</v>
      </c>
      <c r="P125" s="38">
        <f t="shared" si="26"/>
        <v>3.4772559527107836</v>
      </c>
      <c r="Q125" s="38">
        <f t="shared" si="26"/>
        <v>3.1122863536620922</v>
      </c>
      <c r="R125" s="38">
        <f t="shared" si="26"/>
        <v>1.9875587270158905</v>
      </c>
      <c r="S125" s="38">
        <f t="shared" si="26"/>
        <v>2.6774154010177065</v>
      </c>
      <c r="T125" s="38">
        <f t="shared" si="26"/>
        <v>11.276905477350615</v>
      </c>
      <c r="AI125" s="21"/>
      <c r="AJ125" s="21"/>
    </row>
    <row r="126" spans="3:36" s="20" customFormat="1" x14ac:dyDescent="0.2">
      <c r="C126" s="17" t="s">
        <v>95</v>
      </c>
      <c r="D126" s="17"/>
      <c r="E126" s="34">
        <v>28.372375000000002</v>
      </c>
      <c r="F126" s="34">
        <v>28.023814999999999</v>
      </c>
      <c r="G126" s="34">
        <v>28.051946000000001</v>
      </c>
      <c r="H126" s="34">
        <v>46.903955000000003</v>
      </c>
      <c r="I126" s="34">
        <v>50.310043</v>
      </c>
      <c r="J126" s="34">
        <v>38.407007</v>
      </c>
      <c r="K126" s="34">
        <v>49.571337</v>
      </c>
      <c r="L126" s="34">
        <v>49.878</v>
      </c>
      <c r="M126" s="34">
        <v>49.743699999999997</v>
      </c>
      <c r="N126" s="34">
        <v>49.619306999999999</v>
      </c>
      <c r="O126" s="34">
        <v>49.619306999999999</v>
      </c>
      <c r="P126" s="34">
        <v>49.646331000000004</v>
      </c>
      <c r="Q126" s="34">
        <v>49.404837000000001</v>
      </c>
      <c r="R126" s="34">
        <v>49.275022</v>
      </c>
      <c r="S126" s="34">
        <v>49.343856000000002</v>
      </c>
      <c r="T126" s="34">
        <v>49.343856000000002</v>
      </c>
      <c r="AI126" s="21"/>
      <c r="AJ126" s="21"/>
    </row>
    <row r="127" spans="3:36" s="20" customFormat="1" ht="5.0999999999999996" customHeight="1" x14ac:dyDescent="0.2">
      <c r="C127" s="17"/>
      <c r="D127" s="17"/>
      <c r="E127" s="1"/>
      <c r="F127" s="1"/>
      <c r="G127" s="1"/>
      <c r="H127" s="1"/>
      <c r="I127" s="1"/>
      <c r="J127" s="1"/>
      <c r="K127" s="1"/>
      <c r="L127" s="1"/>
      <c r="M127" s="1"/>
      <c r="N127" s="1"/>
      <c r="O127" s="1"/>
      <c r="P127" s="1"/>
      <c r="Q127" s="1"/>
      <c r="R127" s="1"/>
      <c r="AI127" s="21"/>
      <c r="AJ127" s="21"/>
    </row>
    <row r="128" spans="3:36" s="20" customFormat="1" x14ac:dyDescent="0.2">
      <c r="C128" s="42" t="s">
        <v>172</v>
      </c>
      <c r="D128" s="42"/>
      <c r="E128" s="37">
        <f>+E108+E109+E115+E116+E117</f>
        <v>554.93499999999995</v>
      </c>
      <c r="F128" s="37">
        <f t="shared" ref="F128:AD128" si="27">+F108+F109+F115+F116+F117</f>
        <v>537.63099999999997</v>
      </c>
      <c r="G128" s="37">
        <f t="shared" si="27"/>
        <v>520.81599999999992</v>
      </c>
      <c r="H128" s="37">
        <f t="shared" si="27"/>
        <v>1128.3050000000001</v>
      </c>
      <c r="I128" s="37">
        <f t="shared" si="27"/>
        <v>1125.9000000000001</v>
      </c>
      <c r="J128" s="37">
        <f t="shared" si="27"/>
        <v>1125.9000000000001</v>
      </c>
      <c r="K128" s="37">
        <f t="shared" si="27"/>
        <v>1143.0040000000001</v>
      </c>
      <c r="L128" s="37">
        <f t="shared" si="27"/>
        <v>1092.7370000000001</v>
      </c>
      <c r="M128" s="37">
        <f t="shared" si="27"/>
        <v>1083.884</v>
      </c>
      <c r="N128" s="37">
        <f t="shared" si="27"/>
        <v>1074.6379999999999</v>
      </c>
      <c r="O128" s="37">
        <f t="shared" si="27"/>
        <v>1074.6379999999999</v>
      </c>
      <c r="P128" s="37">
        <f t="shared" si="27"/>
        <v>959.173</v>
      </c>
      <c r="Q128" s="37">
        <f t="shared" si="27"/>
        <v>986.04199999999992</v>
      </c>
      <c r="R128" s="37">
        <f>+R108+R109+R115+R116+R117</f>
        <v>865.50699999999995</v>
      </c>
      <c r="S128" s="37">
        <f t="shared" si="27"/>
        <v>744.53</v>
      </c>
      <c r="T128" s="37">
        <f t="shared" si="27"/>
        <v>744.53</v>
      </c>
      <c r="U128" s="37">
        <f t="shared" si="27"/>
        <v>712.53</v>
      </c>
      <c r="V128" s="37">
        <f t="shared" si="27"/>
        <v>681.1966666666666</v>
      </c>
      <c r="W128" s="37">
        <f t="shared" si="27"/>
        <v>649.86333333333323</v>
      </c>
      <c r="X128" s="37">
        <f t="shared" si="27"/>
        <v>618.52999999999986</v>
      </c>
      <c r="Y128" s="37">
        <f t="shared" si="27"/>
        <v>618.52999999999986</v>
      </c>
      <c r="Z128" s="37">
        <f t="shared" si="27"/>
        <v>0</v>
      </c>
      <c r="AA128" s="37">
        <f t="shared" si="27"/>
        <v>0</v>
      </c>
      <c r="AB128" s="37">
        <f t="shared" si="27"/>
        <v>0</v>
      </c>
      <c r="AC128" s="37">
        <f t="shared" si="27"/>
        <v>0</v>
      </c>
      <c r="AD128" s="37">
        <f t="shared" si="27"/>
        <v>0</v>
      </c>
      <c r="AI128" s="21"/>
      <c r="AJ128" s="21"/>
    </row>
    <row r="129" spans="3:36" s="20" customFormat="1" x14ac:dyDescent="0.2">
      <c r="C129" s="17" t="s">
        <v>173</v>
      </c>
      <c r="D129" s="17"/>
      <c r="E129" s="37">
        <f>+E85+E97+E98+E103</f>
        <v>215.67699999999999</v>
      </c>
      <c r="F129" s="37">
        <f t="shared" ref="F129:AD129" si="28">+F85+F97+F98+F103</f>
        <v>172.40100000000001</v>
      </c>
      <c r="G129" s="37">
        <f t="shared" si="28"/>
        <v>133.56399999999999</v>
      </c>
      <c r="H129" s="37">
        <f t="shared" si="28"/>
        <v>126.07400000000001</v>
      </c>
      <c r="I129" s="37">
        <f t="shared" si="28"/>
        <v>98.932999999999993</v>
      </c>
      <c r="J129" s="37">
        <f t="shared" si="28"/>
        <v>98.932999999999993</v>
      </c>
      <c r="K129" s="37">
        <f t="shared" si="28"/>
        <v>75.603999999999999</v>
      </c>
      <c r="L129" s="37">
        <f t="shared" si="28"/>
        <v>231.72</v>
      </c>
      <c r="M129" s="37">
        <f t="shared" si="28"/>
        <v>255.52500000000001</v>
      </c>
      <c r="N129" s="37">
        <f t="shared" si="28"/>
        <v>323.74400000000003</v>
      </c>
      <c r="O129" s="37">
        <f t="shared" si="28"/>
        <v>323.74400000000003</v>
      </c>
      <c r="P129" s="37">
        <f t="shared" si="28"/>
        <v>279.54899999999998</v>
      </c>
      <c r="Q129" s="37">
        <f t="shared" si="28"/>
        <v>282.45</v>
      </c>
      <c r="R129" s="37">
        <f t="shared" si="28"/>
        <v>213.976</v>
      </c>
      <c r="S129" s="37">
        <f t="shared" si="28"/>
        <v>186.76</v>
      </c>
      <c r="T129" s="37">
        <f t="shared" si="28"/>
        <v>186.76</v>
      </c>
      <c r="U129" s="37">
        <f t="shared" si="28"/>
        <v>224.72152999999992</v>
      </c>
      <c r="V129" s="37">
        <f t="shared" si="28"/>
        <v>294.36078116958436</v>
      </c>
      <c r="W129" s="37">
        <f t="shared" si="28"/>
        <v>333.62371309130197</v>
      </c>
      <c r="X129" s="37">
        <f t="shared" si="28"/>
        <v>422.66545381004221</v>
      </c>
      <c r="Y129" s="37">
        <f t="shared" si="28"/>
        <v>422.66545381004221</v>
      </c>
      <c r="Z129" s="37">
        <f t="shared" si="28"/>
        <v>0</v>
      </c>
      <c r="AA129" s="37">
        <f t="shared" si="28"/>
        <v>0</v>
      </c>
      <c r="AB129" s="37">
        <f t="shared" si="28"/>
        <v>0</v>
      </c>
      <c r="AC129" s="37">
        <f t="shared" si="28"/>
        <v>0</v>
      </c>
      <c r="AD129" s="37">
        <f t="shared" si="28"/>
        <v>0</v>
      </c>
      <c r="AI129" s="21"/>
      <c r="AJ129" s="21"/>
    </row>
    <row r="130" spans="3:36" s="20" customFormat="1" x14ac:dyDescent="0.2">
      <c r="C130" s="17" t="s">
        <v>174</v>
      </c>
      <c r="D130" s="17"/>
      <c r="E130" s="37">
        <f t="shared" ref="E130:AD130" si="29">+E128-E129</f>
        <v>339.25799999999992</v>
      </c>
      <c r="F130" s="37">
        <f t="shared" si="29"/>
        <v>365.22999999999996</v>
      </c>
      <c r="G130" s="37">
        <f t="shared" si="29"/>
        <v>387.25199999999995</v>
      </c>
      <c r="H130" s="37">
        <f t="shared" si="29"/>
        <v>1002.231</v>
      </c>
      <c r="I130" s="37">
        <f t="shared" si="29"/>
        <v>1026.9670000000001</v>
      </c>
      <c r="J130" s="37">
        <f t="shared" si="29"/>
        <v>1026.9670000000001</v>
      </c>
      <c r="K130" s="37">
        <f t="shared" si="29"/>
        <v>1067.4000000000001</v>
      </c>
      <c r="L130" s="37">
        <f t="shared" si="29"/>
        <v>861.01700000000005</v>
      </c>
      <c r="M130" s="37">
        <f t="shared" si="29"/>
        <v>828.35900000000004</v>
      </c>
      <c r="N130" s="37">
        <f t="shared" si="29"/>
        <v>750.89399999999989</v>
      </c>
      <c r="O130" s="37">
        <f t="shared" si="29"/>
        <v>750.89399999999989</v>
      </c>
      <c r="P130" s="37">
        <f t="shared" si="29"/>
        <v>679.62400000000002</v>
      </c>
      <c r="Q130" s="37">
        <f t="shared" si="29"/>
        <v>703.59199999999987</v>
      </c>
      <c r="R130" s="37">
        <f t="shared" si="29"/>
        <v>651.53099999999995</v>
      </c>
      <c r="S130" s="37">
        <f t="shared" si="29"/>
        <v>557.77</v>
      </c>
      <c r="T130" s="37">
        <f t="shared" si="29"/>
        <v>557.77</v>
      </c>
      <c r="U130" s="37">
        <f t="shared" si="29"/>
        <v>487.80847000000006</v>
      </c>
      <c r="V130" s="37">
        <f t="shared" si="29"/>
        <v>386.83588549708224</v>
      </c>
      <c r="W130" s="37">
        <f t="shared" si="29"/>
        <v>316.23962024203126</v>
      </c>
      <c r="X130" s="37">
        <f t="shared" si="29"/>
        <v>195.86454618995765</v>
      </c>
      <c r="Y130" s="37">
        <f t="shared" si="29"/>
        <v>195.86454618995765</v>
      </c>
      <c r="Z130" s="37">
        <f t="shared" si="29"/>
        <v>0</v>
      </c>
      <c r="AA130" s="37">
        <f t="shared" si="29"/>
        <v>0</v>
      </c>
      <c r="AB130" s="37">
        <f t="shared" si="29"/>
        <v>0</v>
      </c>
      <c r="AC130" s="37">
        <f t="shared" si="29"/>
        <v>0</v>
      </c>
      <c r="AD130" s="37">
        <f t="shared" si="29"/>
        <v>0</v>
      </c>
      <c r="AI130" s="21"/>
      <c r="AJ130" s="21"/>
    </row>
    <row r="131" spans="3:36" s="20" customFormat="1" x14ac:dyDescent="0.2">
      <c r="C131" s="17" t="s">
        <v>281</v>
      </c>
      <c r="D131" s="17"/>
      <c r="E131" s="37">
        <f>+E99+E100+E101+E102-E114</f>
        <v>23.019000000000005</v>
      </c>
      <c r="F131" s="37">
        <f t="shared" ref="F131:AD131" si="30">+F99+F100+F101+F102-F114</f>
        <v>40.674999999999997</v>
      </c>
      <c r="G131" s="37">
        <f t="shared" si="30"/>
        <v>36.319999999999993</v>
      </c>
      <c r="H131" s="37">
        <f t="shared" si="30"/>
        <v>64.28</v>
      </c>
      <c r="I131" s="37">
        <f t="shared" si="30"/>
        <v>81.652000000000001</v>
      </c>
      <c r="J131" s="37">
        <f t="shared" si="30"/>
        <v>81.652000000000001</v>
      </c>
      <c r="K131" s="37">
        <f t="shared" si="30"/>
        <v>90.61</v>
      </c>
      <c r="L131" s="37">
        <f t="shared" si="30"/>
        <v>165.33700000000002</v>
      </c>
      <c r="M131" s="37">
        <f t="shared" si="30"/>
        <v>204.69099999999997</v>
      </c>
      <c r="N131" s="37">
        <f t="shared" si="30"/>
        <v>260.815</v>
      </c>
      <c r="O131" s="37">
        <f t="shared" si="30"/>
        <v>260.815</v>
      </c>
      <c r="P131" s="37">
        <f t="shared" si="30"/>
        <v>223.57999999999998</v>
      </c>
      <c r="Q131" s="37">
        <f t="shared" si="30"/>
        <v>222.59199999999998</v>
      </c>
      <c r="R131" s="37">
        <f t="shared" si="30"/>
        <v>200.97200000000001</v>
      </c>
      <c r="S131" s="37">
        <f t="shared" si="30"/>
        <v>215.23500000000001</v>
      </c>
      <c r="T131" s="37">
        <f t="shared" si="30"/>
        <v>215.23500000000001</v>
      </c>
      <c r="U131" s="37">
        <f t="shared" si="30"/>
        <v>215.23500000000001</v>
      </c>
      <c r="V131" s="37">
        <f t="shared" si="30"/>
        <v>215.23500000000001</v>
      </c>
      <c r="W131" s="37">
        <f t="shared" si="30"/>
        <v>215.23500000000001</v>
      </c>
      <c r="X131" s="37">
        <f t="shared" si="30"/>
        <v>215.23500000000001</v>
      </c>
      <c r="Y131" s="37">
        <f t="shared" si="30"/>
        <v>215.23500000000001</v>
      </c>
      <c r="Z131" s="37">
        <f t="shared" si="30"/>
        <v>0</v>
      </c>
      <c r="AA131" s="37">
        <f t="shared" si="30"/>
        <v>0</v>
      </c>
      <c r="AB131" s="37">
        <f t="shared" si="30"/>
        <v>0</v>
      </c>
      <c r="AC131" s="37">
        <f t="shared" si="30"/>
        <v>0</v>
      </c>
      <c r="AD131" s="37">
        <f t="shared" si="30"/>
        <v>0</v>
      </c>
      <c r="AI131" s="21"/>
      <c r="AJ131" s="21"/>
    </row>
    <row r="132" spans="3:36" s="20" customFormat="1" ht="5.0999999999999996" customHeight="1" x14ac:dyDescent="0.2">
      <c r="C132" s="17"/>
      <c r="D132" s="17"/>
      <c r="E132" s="17"/>
      <c r="F132" s="17"/>
      <c r="G132" s="17"/>
      <c r="H132" s="17"/>
      <c r="I132" s="17"/>
      <c r="J132" s="17"/>
      <c r="K132" s="17"/>
      <c r="L132" s="17"/>
      <c r="M132" s="17"/>
      <c r="N132" s="17"/>
      <c r="O132" s="17"/>
      <c r="P132" s="17"/>
      <c r="Q132" s="17"/>
      <c r="R132" s="17"/>
      <c r="AI132" s="21"/>
      <c r="AJ132" s="21"/>
    </row>
    <row r="133" spans="3:36" s="20" customFormat="1" x14ac:dyDescent="0.2">
      <c r="C133" s="17" t="s">
        <v>175</v>
      </c>
      <c r="D133" s="17"/>
      <c r="E133" s="61">
        <f>-(E25)/E130</f>
        <v>0.10821262873683159</v>
      </c>
      <c r="F133" s="61">
        <f>-(F25)/F130</f>
        <v>1.9932645182487749E-2</v>
      </c>
      <c r="G133" s="61">
        <f>-(G25)/AVERAGE(F130:G130)</f>
        <v>1.8621043426952408E-2</v>
      </c>
      <c r="H133" s="61">
        <f>-(H25)/AVERAGE(G130:H130)</f>
        <v>1.5313609450421487E-2</v>
      </c>
      <c r="I133" s="61">
        <f>-(I25)/AVERAGE(H130:I130)</f>
        <v>1.1700188941640982E-2</v>
      </c>
      <c r="J133" s="61">
        <f>-(J25)/AVERAGE(F130:I130)</f>
        <v>5.2911909349745469E-2</v>
      </c>
      <c r="K133" s="61">
        <f>-(K25)/AVERAGE(K130,I130)</f>
        <v>1.2165967091727476E-2</v>
      </c>
      <c r="L133" s="61">
        <f>-(L25)/AVERAGE(K130:L130)</f>
        <v>1.3024154008183913E-2</v>
      </c>
      <c r="M133" s="61">
        <f>-(M25)/AVERAGE(L130:M130)</f>
        <v>1.8151080635690337E-2</v>
      </c>
      <c r="N133" s="61">
        <f>-(N25)/AVERAGE(M130:N130)</f>
        <v>2.1644410363633949E-2</v>
      </c>
      <c r="O133" s="61">
        <f>-(O25)/AVERAGE(K130:N130)</f>
        <v>6.5822611591170213E-2</v>
      </c>
      <c r="P133" s="61">
        <f>-(P25)/AVERAGE(P130,N130)</f>
        <v>2.3693515216166451E-2</v>
      </c>
      <c r="Q133" s="61">
        <f>-(Q25)/AVERAGE(P130:Q130)</f>
        <v>2.5901956021330007E-2</v>
      </c>
      <c r="R133" s="61">
        <f>-(R25)/AVERAGE(Q130:R130)</f>
        <v>2.4819887198431437E-2</v>
      </c>
      <c r="AI133" s="21"/>
      <c r="AJ133" s="21"/>
    </row>
    <row r="134" spans="3:36" s="20" customFormat="1" x14ac:dyDescent="0.2">
      <c r="C134" s="17" t="s">
        <v>176</v>
      </c>
      <c r="D134" s="17"/>
      <c r="E134" s="37">
        <f>+E86/-E18</f>
        <v>14.90676997161804</v>
      </c>
      <c r="F134" s="37">
        <f>+(E86+E89+E90)/(-F18*4)</f>
        <v>16.858690461979226</v>
      </c>
      <c r="G134" s="37">
        <f>+(F86+F89+F90)/(-G18*4)</f>
        <v>16.350635283096199</v>
      </c>
      <c r="H134" s="37">
        <f>+(G86+G89+G90)/(-H18*4)</f>
        <v>10.392408742152988</v>
      </c>
      <c r="I134" s="37">
        <f>+(H86+H89+H90)/(-I18*4)</f>
        <v>17.855742555945998</v>
      </c>
      <c r="J134" s="37">
        <f>AVERAGE(F134:I134)</f>
        <v>15.364369260793602</v>
      </c>
      <c r="K134" s="37">
        <f>+(J86+J89+J90)/(-K18*4)</f>
        <v>16.907574074074073</v>
      </c>
      <c r="L134" s="37">
        <f>+(K86+K89+K90)/(-L18*4)</f>
        <v>16.479756750807159</v>
      </c>
      <c r="M134" s="37">
        <f>+(L86+L89+L90)/(-M18*4)</f>
        <v>15.730119373918059</v>
      </c>
      <c r="N134" s="37">
        <f>+(M86+M89+M90)/(-N18*4)</f>
        <v>15.190149274750036</v>
      </c>
      <c r="O134" s="37">
        <f>AVERAGE(K134:N134)</f>
        <v>16.076899868387333</v>
      </c>
      <c r="P134" s="37">
        <f>+(O86+O89+O90)/(-P18*4)</f>
        <v>14.661499932313525</v>
      </c>
      <c r="Q134" s="37">
        <f>+(P86+P89+P90)/(-Q18*4)</f>
        <v>13.906141161966405</v>
      </c>
      <c r="R134" s="37">
        <f>+(Q86+Q89+Q90)/(-R18*4)</f>
        <v>14.866371429427808</v>
      </c>
      <c r="S134" s="37"/>
      <c r="T134" s="37"/>
      <c r="AI134" s="21"/>
      <c r="AJ134" s="21"/>
    </row>
    <row r="135" spans="3:36" s="20" customFormat="1" x14ac:dyDescent="0.2">
      <c r="C135" s="17"/>
      <c r="D135" s="17"/>
      <c r="E135" s="17"/>
      <c r="F135" s="17"/>
      <c r="G135" s="17"/>
      <c r="H135" s="17"/>
      <c r="I135" s="17"/>
      <c r="J135" s="17"/>
      <c r="K135" s="17"/>
      <c r="L135" s="17"/>
      <c r="M135" s="17"/>
      <c r="N135" s="17"/>
      <c r="O135" s="17"/>
      <c r="P135" s="17"/>
      <c r="Q135" s="17"/>
      <c r="R135" s="17"/>
      <c r="AI135" s="21"/>
      <c r="AJ135" s="21"/>
    </row>
    <row r="136" spans="3:36" s="20" customFormat="1" x14ac:dyDescent="0.2">
      <c r="C136" s="30" t="s">
        <v>177</v>
      </c>
      <c r="D136" s="30"/>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I136" s="21"/>
      <c r="AJ136" s="21"/>
    </row>
    <row r="137" spans="3:36" s="20" customFormat="1" x14ac:dyDescent="0.2">
      <c r="C137" s="49" t="s">
        <v>192</v>
      </c>
      <c r="D137" s="49" t="s">
        <v>193</v>
      </c>
      <c r="E137" s="60" t="s">
        <v>320</v>
      </c>
      <c r="F137" s="51" t="s">
        <v>198</v>
      </c>
      <c r="G137" s="51" t="s">
        <v>197</v>
      </c>
      <c r="H137" s="52" t="s">
        <v>200</v>
      </c>
      <c r="I137" s="53" t="s">
        <v>194</v>
      </c>
      <c r="J137" s="53" t="s">
        <v>195</v>
      </c>
      <c r="K137" s="52" t="s">
        <v>196</v>
      </c>
      <c r="L137" s="52" t="s">
        <v>199</v>
      </c>
      <c r="M137" s="1"/>
      <c r="N137" s="1"/>
      <c r="O137" s="1"/>
      <c r="P137" s="1"/>
      <c r="Q137" s="1"/>
      <c r="R137" s="1"/>
      <c r="AI137" s="21"/>
      <c r="AJ137" s="21"/>
    </row>
    <row r="138" spans="3:36" s="20" customFormat="1" x14ac:dyDescent="0.2">
      <c r="C138" s="17" t="s">
        <v>324</v>
      </c>
      <c r="D138" s="17" t="s">
        <v>11</v>
      </c>
      <c r="E138" s="57" t="s">
        <v>321</v>
      </c>
      <c r="F138" s="34">
        <v>0</v>
      </c>
      <c r="G138" s="34">
        <v>0</v>
      </c>
      <c r="H138" s="1">
        <v>317858</v>
      </c>
      <c r="I138" s="62">
        <v>2010</v>
      </c>
      <c r="J138" s="62">
        <v>2024</v>
      </c>
      <c r="K138" s="56">
        <f>+(J138-I138)</f>
        <v>14</v>
      </c>
      <c r="L138" s="1">
        <f>+K138*'Vessel Valuations'!$F$43^3+K138*'Vessel Valuations'!$G$43^2+K138*'Vessel Valuations'!$H$43+'Vessel Valuations'!$I$43</f>
        <v>27.351174446615076</v>
      </c>
      <c r="M138" s="1"/>
      <c r="N138" s="1"/>
      <c r="O138" s="1"/>
      <c r="P138" s="1"/>
      <c r="Q138" s="1"/>
      <c r="R138" s="1"/>
      <c r="AI138" s="21"/>
      <c r="AJ138" s="21"/>
    </row>
    <row r="139" spans="3:36" s="20" customFormat="1" x14ac:dyDescent="0.2">
      <c r="C139" s="17" t="s">
        <v>325</v>
      </c>
      <c r="D139" s="17" t="s">
        <v>11</v>
      </c>
      <c r="E139" s="57" t="s">
        <v>322</v>
      </c>
      <c r="F139" s="34">
        <v>1</v>
      </c>
      <c r="G139" s="34">
        <v>1</v>
      </c>
      <c r="H139" s="1">
        <v>300973</v>
      </c>
      <c r="I139" s="63">
        <v>2016</v>
      </c>
      <c r="J139" s="63">
        <v>2024</v>
      </c>
      <c r="K139" s="56">
        <f t="shared" ref="K139:K201" si="31">+(J139-I139)</f>
        <v>8</v>
      </c>
      <c r="L139" s="1">
        <f>+K139*'Vessel Valuations'!$F$43^3+K139*'Vessel Valuations'!$G$43^2+K139*'Vessel Valuations'!$H$43+'Vessel Valuations'!$I$43</f>
        <v>77.730741042421386</v>
      </c>
      <c r="M139" s="1"/>
      <c r="N139" s="1"/>
      <c r="O139" s="1"/>
      <c r="P139" s="1"/>
      <c r="Q139" s="1"/>
      <c r="R139" s="1"/>
      <c r="AI139" s="21"/>
      <c r="AJ139" s="21"/>
    </row>
    <row r="140" spans="3:36" s="20" customFormat="1" x14ac:dyDescent="0.2">
      <c r="C140" s="17" t="s">
        <v>326</v>
      </c>
      <c r="D140" s="17" t="s">
        <v>11</v>
      </c>
      <c r="E140" s="57" t="s">
        <v>322</v>
      </c>
      <c r="F140" s="34">
        <v>1</v>
      </c>
      <c r="G140" s="34">
        <v>1</v>
      </c>
      <c r="H140" s="1">
        <v>300933</v>
      </c>
      <c r="I140" s="63">
        <v>2016</v>
      </c>
      <c r="J140" s="63">
        <v>2024</v>
      </c>
      <c r="K140" s="56">
        <f t="shared" si="31"/>
        <v>8</v>
      </c>
      <c r="L140" s="1">
        <f>+K140*'Vessel Valuations'!$F$43^3+K140*'Vessel Valuations'!$G$43^2+K140*'Vessel Valuations'!$H$43+'Vessel Valuations'!$I$43</f>
        <v>77.730741042421386</v>
      </c>
      <c r="M140" s="1"/>
      <c r="N140" s="1"/>
      <c r="O140" s="1"/>
      <c r="P140" s="1"/>
      <c r="Q140" s="1"/>
      <c r="R140" s="1"/>
      <c r="AI140" s="21"/>
      <c r="AJ140" s="21"/>
    </row>
    <row r="141" spans="3:36" s="20" customFormat="1" x14ac:dyDescent="0.2">
      <c r="C141" s="17" t="s">
        <v>327</v>
      </c>
      <c r="D141" s="17" t="s">
        <v>11</v>
      </c>
      <c r="E141" s="57" t="s">
        <v>322</v>
      </c>
      <c r="F141" s="34">
        <v>1</v>
      </c>
      <c r="G141" s="34">
        <v>1</v>
      </c>
      <c r="H141" s="1">
        <v>300932</v>
      </c>
      <c r="I141" s="63">
        <v>2016</v>
      </c>
      <c r="J141" s="63">
        <v>2024</v>
      </c>
      <c r="K141" s="56">
        <f t="shared" si="31"/>
        <v>8</v>
      </c>
      <c r="L141" s="1">
        <f>+K141*'Vessel Valuations'!$F$43^3+K141*'Vessel Valuations'!$G$43^2+K141*'Vessel Valuations'!$H$43+'Vessel Valuations'!$I$43</f>
        <v>77.730741042421386</v>
      </c>
      <c r="M141" s="1"/>
      <c r="N141" s="1"/>
      <c r="O141" s="1"/>
      <c r="P141" s="1"/>
      <c r="Q141" s="1"/>
      <c r="R141" s="1"/>
      <c r="AI141" s="21"/>
      <c r="AJ141" s="21"/>
    </row>
    <row r="142" spans="3:36" s="20" customFormat="1" x14ac:dyDescent="0.2">
      <c r="C142" s="17" t="s">
        <v>328</v>
      </c>
      <c r="D142" s="17" t="s">
        <v>11</v>
      </c>
      <c r="E142" s="57" t="s">
        <v>322</v>
      </c>
      <c r="F142" s="34">
        <v>1</v>
      </c>
      <c r="G142" s="34">
        <v>1</v>
      </c>
      <c r="H142" s="1">
        <v>300781</v>
      </c>
      <c r="I142" s="63">
        <v>2016</v>
      </c>
      <c r="J142" s="63">
        <v>2024</v>
      </c>
      <c r="K142" s="56">
        <f t="shared" si="31"/>
        <v>8</v>
      </c>
      <c r="L142" s="1">
        <f>+K142*'Vessel Valuations'!$F$43^3+K142*'Vessel Valuations'!$G$43^2+K142*'Vessel Valuations'!$H$43+'Vessel Valuations'!$I$43</f>
        <v>77.730741042421386</v>
      </c>
      <c r="M142" s="1"/>
      <c r="N142" s="1"/>
      <c r="O142" s="1"/>
      <c r="P142" s="1"/>
      <c r="Q142" s="1"/>
      <c r="R142" s="1"/>
      <c r="AI142" s="21"/>
      <c r="AJ142" s="21"/>
    </row>
    <row r="143" spans="3:36" s="20" customFormat="1" x14ac:dyDescent="0.2">
      <c r="C143" s="17" t="s">
        <v>329</v>
      </c>
      <c r="D143" s="17" t="s">
        <v>11</v>
      </c>
      <c r="E143" s="57" t="s">
        <v>322</v>
      </c>
      <c r="F143" s="34">
        <v>1</v>
      </c>
      <c r="G143" s="34">
        <v>1</v>
      </c>
      <c r="H143" s="1">
        <v>300757</v>
      </c>
      <c r="I143" s="63">
        <v>2016</v>
      </c>
      <c r="J143" s="63">
        <v>2024</v>
      </c>
      <c r="K143" s="56">
        <f t="shared" si="31"/>
        <v>8</v>
      </c>
      <c r="L143" s="1">
        <f>+K143*'Vessel Valuations'!$F$43^3+K143*'Vessel Valuations'!$G$43^2+K143*'Vessel Valuations'!$H$43+'Vessel Valuations'!$I$43</f>
        <v>77.730741042421386</v>
      </c>
      <c r="M143" s="1"/>
      <c r="N143" s="1"/>
      <c r="O143" s="1"/>
      <c r="P143" s="1"/>
      <c r="Q143" s="1"/>
      <c r="R143" s="1"/>
      <c r="AI143" s="21"/>
      <c r="AJ143" s="21"/>
    </row>
    <row r="144" spans="3:36" s="20" customFormat="1" x14ac:dyDescent="0.2">
      <c r="C144" s="17" t="s">
        <v>330</v>
      </c>
      <c r="D144" s="17" t="s">
        <v>11</v>
      </c>
      <c r="E144" s="57" t="s">
        <v>322</v>
      </c>
      <c r="F144" s="34">
        <v>1</v>
      </c>
      <c r="G144" s="34">
        <v>1</v>
      </c>
      <c r="H144" s="1">
        <v>300703</v>
      </c>
      <c r="I144" s="63">
        <v>2015</v>
      </c>
      <c r="J144" s="63">
        <v>2024</v>
      </c>
      <c r="K144" s="56">
        <f t="shared" si="31"/>
        <v>9</v>
      </c>
      <c r="L144" s="1">
        <f>+K144*'Vessel Valuations'!$F$43^3+K144*'Vessel Valuations'!$G$43^2+K144*'Vessel Valuations'!$H$43+'Vessel Valuations'!$I$43</f>
        <v>69.334146609786998</v>
      </c>
      <c r="M144" s="1"/>
      <c r="N144" s="1"/>
      <c r="O144" s="1"/>
      <c r="P144" s="1"/>
      <c r="Q144" s="1"/>
      <c r="R144" s="1"/>
      <c r="AI144" s="21"/>
      <c r="AJ144" s="21"/>
    </row>
    <row r="145" spans="3:36" s="20" customFormat="1" x14ac:dyDescent="0.2">
      <c r="C145" s="17" t="s">
        <v>331</v>
      </c>
      <c r="D145" s="17" t="s">
        <v>11</v>
      </c>
      <c r="E145" s="57" t="s">
        <v>322</v>
      </c>
      <c r="F145" s="34">
        <v>1</v>
      </c>
      <c r="G145" s="34">
        <v>1</v>
      </c>
      <c r="H145" s="1">
        <v>300000</v>
      </c>
      <c r="I145" s="63">
        <v>2023</v>
      </c>
      <c r="J145" s="63">
        <v>2024</v>
      </c>
      <c r="K145" s="56">
        <f t="shared" si="31"/>
        <v>1</v>
      </c>
      <c r="L145" s="1">
        <f>+K145*'Vessel Valuations'!$F$43^3+K145*'Vessel Valuations'!$G$43^2+K145*'Vessel Valuations'!$H$43+'Vessel Valuations'!$I$43</f>
        <v>136.50690207086211</v>
      </c>
      <c r="M145" s="1"/>
      <c r="N145" s="1"/>
      <c r="O145" s="1"/>
      <c r="P145" s="1"/>
      <c r="Q145" s="1"/>
      <c r="R145" s="1"/>
      <c r="AI145" s="21"/>
      <c r="AJ145" s="21"/>
    </row>
    <row r="146" spans="3:36" s="20" customFormat="1" x14ac:dyDescent="0.2">
      <c r="C146" s="17" t="s">
        <v>332</v>
      </c>
      <c r="D146" s="17" t="s">
        <v>11</v>
      </c>
      <c r="E146" s="57" t="s">
        <v>322</v>
      </c>
      <c r="F146" s="34">
        <v>1</v>
      </c>
      <c r="G146" s="34">
        <v>1</v>
      </c>
      <c r="H146" s="1">
        <v>300000</v>
      </c>
      <c r="I146" s="63">
        <v>2023</v>
      </c>
      <c r="J146" s="63">
        <v>2024</v>
      </c>
      <c r="K146" s="56">
        <f t="shared" si="31"/>
        <v>1</v>
      </c>
      <c r="L146" s="1">
        <f>+K146*'Vessel Valuations'!$F$43^3+K146*'Vessel Valuations'!$G$43^2+K146*'Vessel Valuations'!$H$43+'Vessel Valuations'!$I$43</f>
        <v>136.50690207086211</v>
      </c>
      <c r="M146" s="1"/>
      <c r="N146" s="1"/>
      <c r="O146" s="1"/>
      <c r="P146" s="1"/>
      <c r="Q146" s="1"/>
      <c r="R146" s="1"/>
      <c r="AI146" s="21"/>
      <c r="AJ146" s="21"/>
    </row>
    <row r="147" spans="3:36" s="20" customFormat="1" x14ac:dyDescent="0.2">
      <c r="C147" s="17" t="s">
        <v>333</v>
      </c>
      <c r="D147" s="17" t="s">
        <v>11</v>
      </c>
      <c r="E147" s="57" t="s">
        <v>322</v>
      </c>
      <c r="F147" s="34">
        <v>1</v>
      </c>
      <c r="G147" s="34">
        <v>1</v>
      </c>
      <c r="H147" s="1">
        <v>300000</v>
      </c>
      <c r="I147" s="63">
        <v>2023</v>
      </c>
      <c r="J147" s="63">
        <v>2024</v>
      </c>
      <c r="K147" s="56">
        <f t="shared" si="31"/>
        <v>1</v>
      </c>
      <c r="L147" s="1">
        <f>+K147*'Vessel Valuations'!$F$43^3+K147*'Vessel Valuations'!$G$43^2+K147*'Vessel Valuations'!$H$43+'Vessel Valuations'!$I$43</f>
        <v>136.50690207086211</v>
      </c>
      <c r="M147" s="1"/>
      <c r="N147" s="1"/>
      <c r="O147" s="1"/>
      <c r="P147" s="1"/>
      <c r="Q147" s="1"/>
      <c r="R147" s="1"/>
      <c r="AI147" s="21"/>
      <c r="AJ147" s="21"/>
    </row>
    <row r="148" spans="3:36" s="20" customFormat="1" x14ac:dyDescent="0.2">
      <c r="C148" s="17" t="s">
        <v>334</v>
      </c>
      <c r="D148" s="17" t="s">
        <v>11</v>
      </c>
      <c r="E148" s="57" t="s">
        <v>321</v>
      </c>
      <c r="F148" s="34">
        <v>1</v>
      </c>
      <c r="G148" s="34">
        <v>1</v>
      </c>
      <c r="H148" s="1">
        <v>296520</v>
      </c>
      <c r="I148" s="63">
        <v>2012</v>
      </c>
      <c r="J148" s="63">
        <v>2024</v>
      </c>
      <c r="K148" s="56">
        <f t="shared" si="31"/>
        <v>12</v>
      </c>
      <c r="L148" s="1">
        <f>+K148*'Vessel Valuations'!$F$43^3+K148*'Vessel Valuations'!$G$43^2+K148*'Vessel Valuations'!$H$43+'Vessel Valuations'!$I$43</f>
        <v>44.144363311883851</v>
      </c>
      <c r="M148" s="1"/>
      <c r="N148" s="1"/>
      <c r="O148" s="1"/>
      <c r="P148" s="1"/>
      <c r="Q148" s="1"/>
      <c r="R148" s="1"/>
      <c r="AI148" s="21"/>
      <c r="AJ148" s="21"/>
    </row>
    <row r="149" spans="3:36" s="20" customFormat="1" x14ac:dyDescent="0.2">
      <c r="C149" s="17" t="s">
        <v>335</v>
      </c>
      <c r="D149" s="17" t="s">
        <v>11</v>
      </c>
      <c r="E149" s="57" t="s">
        <v>321</v>
      </c>
      <c r="F149" s="34">
        <v>0</v>
      </c>
      <c r="G149" s="34">
        <v>0</v>
      </c>
      <c r="H149" s="1">
        <v>296409</v>
      </c>
      <c r="I149" s="63">
        <v>2010</v>
      </c>
      <c r="J149" s="63">
        <v>2024</v>
      </c>
      <c r="K149" s="56">
        <f t="shared" si="31"/>
        <v>14</v>
      </c>
      <c r="L149" s="1">
        <f>+K149*'Vessel Valuations'!$F$43^3+K149*'Vessel Valuations'!$G$43^2+K149*'Vessel Valuations'!$H$43+'Vessel Valuations'!$I$43</f>
        <v>27.351174446615076</v>
      </c>
      <c r="M149" s="1"/>
      <c r="N149" s="1"/>
      <c r="O149" s="1"/>
      <c r="P149" s="1"/>
      <c r="Q149" s="1"/>
      <c r="R149" s="1"/>
      <c r="AI149" s="21"/>
      <c r="AJ149" s="21"/>
    </row>
    <row r="150" spans="3:36" s="20" customFormat="1" x14ac:dyDescent="0.2">
      <c r="C150" s="17" t="s">
        <v>336</v>
      </c>
      <c r="D150" s="17" t="s">
        <v>11</v>
      </c>
      <c r="E150" s="57" t="s">
        <v>321</v>
      </c>
      <c r="F150" s="34">
        <v>0</v>
      </c>
      <c r="G150" s="34">
        <v>0</v>
      </c>
      <c r="H150" s="1">
        <v>296305</v>
      </c>
      <c r="I150" s="63">
        <v>2011</v>
      </c>
      <c r="J150" s="63">
        <v>2024</v>
      </c>
      <c r="K150" s="56">
        <f t="shared" si="31"/>
        <v>13</v>
      </c>
      <c r="L150" s="1">
        <f>+K150*'Vessel Valuations'!$F$43^3+K150*'Vessel Valuations'!$G$43^2+K150*'Vessel Valuations'!$H$43+'Vessel Valuations'!$I$43</f>
        <v>35.747768879249463</v>
      </c>
      <c r="M150" s="1"/>
      <c r="N150" s="1"/>
      <c r="O150" s="1"/>
      <c r="P150" s="1"/>
      <c r="Q150" s="1"/>
      <c r="R150" s="1"/>
      <c r="AI150" s="21"/>
      <c r="AJ150" s="21"/>
    </row>
    <row r="151" spans="3:36" s="20" customFormat="1" x14ac:dyDescent="0.2">
      <c r="C151" s="17" t="s">
        <v>282</v>
      </c>
      <c r="D151" s="17" t="s">
        <v>13</v>
      </c>
      <c r="E151" s="57" t="s">
        <v>321</v>
      </c>
      <c r="F151" s="34">
        <v>0</v>
      </c>
      <c r="G151" s="34">
        <v>0</v>
      </c>
      <c r="H151" s="1">
        <v>159068</v>
      </c>
      <c r="I151" s="63">
        <v>2012</v>
      </c>
      <c r="J151" s="63">
        <v>2024</v>
      </c>
      <c r="K151" s="56">
        <f t="shared" si="31"/>
        <v>12</v>
      </c>
      <c r="L151" s="1">
        <f>+K151*'Vessel Valuations'!$F$44^3+K151*'Vessel Valuations'!$G$44^2+K151*'Vessel Valuations'!$H$44+'Vessel Valuations'!$I$44</f>
        <v>45.761596385745406</v>
      </c>
      <c r="M151" s="1"/>
      <c r="N151" s="1"/>
      <c r="O151" s="1"/>
      <c r="P151" s="1"/>
      <c r="Q151" s="1"/>
      <c r="R151" s="1"/>
      <c r="AI151" s="21"/>
      <c r="AJ151" s="21"/>
    </row>
    <row r="152" spans="3:36" s="20" customFormat="1" x14ac:dyDescent="0.2">
      <c r="C152" s="17" t="s">
        <v>283</v>
      </c>
      <c r="D152" s="17" t="s">
        <v>13</v>
      </c>
      <c r="E152" s="58" t="s">
        <v>321</v>
      </c>
      <c r="F152" s="34">
        <v>0</v>
      </c>
      <c r="G152" s="34">
        <v>0</v>
      </c>
      <c r="H152" s="1">
        <v>159056</v>
      </c>
      <c r="I152" s="63">
        <v>2012</v>
      </c>
      <c r="J152" s="63">
        <v>2024</v>
      </c>
      <c r="K152" s="56">
        <f t="shared" si="31"/>
        <v>12</v>
      </c>
      <c r="L152" s="1">
        <f>+K152*'Vessel Valuations'!$F$44^3+K152*'Vessel Valuations'!$G$44^2+K152*'Vessel Valuations'!$H$44+'Vessel Valuations'!$I$44</f>
        <v>45.761596385745406</v>
      </c>
      <c r="M152" s="1"/>
      <c r="N152" s="1"/>
      <c r="O152" s="1"/>
      <c r="P152" s="1"/>
      <c r="Q152" s="1"/>
      <c r="R152" s="1"/>
      <c r="AI152" s="21"/>
      <c r="AJ152" s="21"/>
    </row>
    <row r="153" spans="3:36" s="20" customFormat="1" x14ac:dyDescent="0.2">
      <c r="C153" s="17" t="s">
        <v>284</v>
      </c>
      <c r="D153" s="17" t="s">
        <v>13</v>
      </c>
      <c r="E153" s="58" t="s">
        <v>321</v>
      </c>
      <c r="F153" s="34">
        <v>0</v>
      </c>
      <c r="G153" s="34">
        <v>0</v>
      </c>
      <c r="H153" s="1">
        <v>159018</v>
      </c>
      <c r="I153" s="63">
        <v>2012</v>
      </c>
      <c r="J153" s="63">
        <v>2024</v>
      </c>
      <c r="K153" s="56">
        <f t="shared" si="31"/>
        <v>12</v>
      </c>
      <c r="L153" s="1">
        <f>+K153*'Vessel Valuations'!$F$44^3+K153*'Vessel Valuations'!$G$44^2+K153*'Vessel Valuations'!$H$44+'Vessel Valuations'!$I$44</f>
        <v>45.761596385745406</v>
      </c>
      <c r="M153" s="1"/>
      <c r="N153" s="1"/>
      <c r="O153" s="1"/>
      <c r="P153" s="1"/>
      <c r="Q153" s="1"/>
      <c r="R153" s="1"/>
      <c r="AI153" s="21"/>
      <c r="AJ153" s="21"/>
    </row>
    <row r="154" spans="3:36" s="20" customFormat="1" x14ac:dyDescent="0.2">
      <c r="C154" s="17" t="s">
        <v>285</v>
      </c>
      <c r="D154" s="17" t="s">
        <v>13</v>
      </c>
      <c r="E154" s="58" t="s">
        <v>321</v>
      </c>
      <c r="F154" s="34">
        <v>0</v>
      </c>
      <c r="G154" s="34">
        <v>0</v>
      </c>
      <c r="H154" s="1">
        <v>159000</v>
      </c>
      <c r="I154" s="63">
        <v>2012</v>
      </c>
      <c r="J154" s="63">
        <v>2024</v>
      </c>
      <c r="K154" s="56">
        <f t="shared" si="31"/>
        <v>12</v>
      </c>
      <c r="L154" s="1">
        <f>+K154*'Vessel Valuations'!$F$44^3+K154*'Vessel Valuations'!$G$44^2+K154*'Vessel Valuations'!$H$44+'Vessel Valuations'!$I$44</f>
        <v>45.761596385745406</v>
      </c>
      <c r="M154" s="1"/>
      <c r="N154" s="1"/>
      <c r="O154" s="1"/>
      <c r="P154" s="1"/>
      <c r="Q154" s="1"/>
      <c r="R154" s="1"/>
      <c r="AI154" s="21"/>
      <c r="AJ154" s="21"/>
    </row>
    <row r="155" spans="3:36" s="20" customFormat="1" x14ac:dyDescent="0.2">
      <c r="C155" s="17" t="s">
        <v>337</v>
      </c>
      <c r="D155" s="17" t="s">
        <v>13</v>
      </c>
      <c r="E155" s="58" t="s">
        <v>321</v>
      </c>
      <c r="F155" s="34">
        <v>1</v>
      </c>
      <c r="G155" s="34">
        <v>0</v>
      </c>
      <c r="H155" s="1">
        <v>158734</v>
      </c>
      <c r="I155" s="63">
        <v>2016</v>
      </c>
      <c r="J155" s="63">
        <v>2024</v>
      </c>
      <c r="K155" s="56">
        <f t="shared" si="31"/>
        <v>8</v>
      </c>
      <c r="L155" s="1">
        <f>+K155*'Vessel Valuations'!$F$44^3+K155*'Vessel Valuations'!$G$44^2+K155*'Vessel Valuations'!$H$44+'Vessel Valuations'!$I$44</f>
        <v>64.323115539214882</v>
      </c>
      <c r="M155" s="1"/>
      <c r="N155" s="1"/>
      <c r="O155" s="1"/>
      <c r="P155" s="1"/>
      <c r="Q155" s="1"/>
      <c r="R155" s="1"/>
      <c r="AI155" s="21"/>
      <c r="AJ155" s="21"/>
    </row>
    <row r="156" spans="3:36" s="20" customFormat="1" x14ac:dyDescent="0.2">
      <c r="C156" s="17" t="s">
        <v>338</v>
      </c>
      <c r="D156" s="17" t="s">
        <v>13</v>
      </c>
      <c r="E156" s="58" t="s">
        <v>321</v>
      </c>
      <c r="F156" s="34">
        <v>1</v>
      </c>
      <c r="G156" s="34">
        <v>0</v>
      </c>
      <c r="H156" s="1">
        <v>158658</v>
      </c>
      <c r="I156" s="63">
        <v>2016</v>
      </c>
      <c r="J156" s="63">
        <v>2024</v>
      </c>
      <c r="K156" s="56">
        <f t="shared" si="31"/>
        <v>8</v>
      </c>
      <c r="L156" s="1">
        <f>+K156*'Vessel Valuations'!$F$44^3+K156*'Vessel Valuations'!$G$44^2+K156*'Vessel Valuations'!$H$44+'Vessel Valuations'!$I$44</f>
        <v>64.323115539214882</v>
      </c>
      <c r="M156" s="1"/>
      <c r="N156" s="1"/>
      <c r="O156" s="1"/>
      <c r="P156" s="1"/>
      <c r="Q156" s="1"/>
      <c r="R156" s="1"/>
      <c r="AI156" s="21"/>
      <c r="AJ156" s="21"/>
    </row>
    <row r="157" spans="3:36" s="20" customFormat="1" x14ac:dyDescent="0.2">
      <c r="C157" s="17" t="s">
        <v>286</v>
      </c>
      <c r="D157" s="17" t="s">
        <v>13</v>
      </c>
      <c r="E157" s="58" t="s">
        <v>321</v>
      </c>
      <c r="F157" s="34">
        <v>0</v>
      </c>
      <c r="G157" s="34">
        <v>0</v>
      </c>
      <c r="H157" s="1">
        <v>158615</v>
      </c>
      <c r="I157" s="63">
        <v>2012</v>
      </c>
      <c r="J157" s="63">
        <v>2024</v>
      </c>
      <c r="K157" s="56">
        <f t="shared" si="31"/>
        <v>12</v>
      </c>
      <c r="L157" s="1">
        <f>+K157*'Vessel Valuations'!$F$44^3+K157*'Vessel Valuations'!$G$44^2+K157*'Vessel Valuations'!$H$44+'Vessel Valuations'!$I$44</f>
        <v>45.761596385745406</v>
      </c>
      <c r="M157" s="1"/>
      <c r="N157" s="1"/>
      <c r="O157" s="1"/>
      <c r="P157" s="1"/>
      <c r="Q157" s="1"/>
      <c r="R157" s="1"/>
      <c r="AI157" s="21"/>
      <c r="AJ157" s="21"/>
    </row>
    <row r="158" spans="3:36" s="20" customFormat="1" x14ac:dyDescent="0.2">
      <c r="C158" s="17" t="s">
        <v>287</v>
      </c>
      <c r="D158" s="17" t="s">
        <v>13</v>
      </c>
      <c r="E158" s="58" t="s">
        <v>321</v>
      </c>
      <c r="F158" s="34">
        <v>0</v>
      </c>
      <c r="G158" s="34">
        <v>0</v>
      </c>
      <c r="H158" s="1">
        <v>158537</v>
      </c>
      <c r="I158" s="63">
        <v>2012</v>
      </c>
      <c r="J158" s="63">
        <v>2024</v>
      </c>
      <c r="K158" s="56">
        <f t="shared" si="31"/>
        <v>12</v>
      </c>
      <c r="L158" s="1">
        <f>+K158*'Vessel Valuations'!$F$44^3+K158*'Vessel Valuations'!$G$44^2+K158*'Vessel Valuations'!$H$44+'Vessel Valuations'!$I$44</f>
        <v>45.761596385745406</v>
      </c>
      <c r="M158" s="1"/>
      <c r="N158" s="1"/>
      <c r="O158" s="1"/>
      <c r="P158" s="1"/>
      <c r="Q158" s="1"/>
      <c r="R158" s="1"/>
      <c r="AI158" s="21"/>
      <c r="AJ158" s="21"/>
    </row>
    <row r="159" spans="3:36" s="20" customFormat="1" x14ac:dyDescent="0.2">
      <c r="C159" s="17" t="s">
        <v>288</v>
      </c>
      <c r="D159" s="17" t="s">
        <v>13</v>
      </c>
      <c r="E159" s="58" t="s">
        <v>321</v>
      </c>
      <c r="F159" s="34">
        <v>0</v>
      </c>
      <c r="G159" s="34">
        <v>1</v>
      </c>
      <c r="H159" s="1">
        <v>158493</v>
      </c>
      <c r="I159" s="63">
        <v>2012</v>
      </c>
      <c r="J159" s="63">
        <v>2024</v>
      </c>
      <c r="K159" s="56">
        <f t="shared" si="31"/>
        <v>12</v>
      </c>
      <c r="L159" s="1">
        <f>+K159*'Vessel Valuations'!$F$44^3+K159*'Vessel Valuations'!$G$44^2+K159*'Vessel Valuations'!$H$44+'Vessel Valuations'!$I$44</f>
        <v>45.761596385745406</v>
      </c>
      <c r="M159" s="1"/>
      <c r="N159" s="1"/>
      <c r="O159" s="1"/>
      <c r="P159" s="1"/>
      <c r="Q159" s="1"/>
      <c r="R159" s="1"/>
      <c r="AI159" s="21"/>
      <c r="AJ159" s="21"/>
    </row>
    <row r="160" spans="3:36" s="20" customFormat="1" x14ac:dyDescent="0.2">
      <c r="C160" s="17" t="s">
        <v>289</v>
      </c>
      <c r="D160" s="17" t="s">
        <v>13</v>
      </c>
      <c r="E160" s="58" t="s">
        <v>321</v>
      </c>
      <c r="F160" s="34">
        <v>0</v>
      </c>
      <c r="G160" s="34">
        <v>1</v>
      </c>
      <c r="H160" s="1">
        <v>158465</v>
      </c>
      <c r="I160" s="63">
        <v>2012</v>
      </c>
      <c r="J160" s="63">
        <v>2024</v>
      </c>
      <c r="K160" s="56">
        <f t="shared" si="31"/>
        <v>12</v>
      </c>
      <c r="L160" s="1">
        <f>+K160*'Vessel Valuations'!$F$44^3+K160*'Vessel Valuations'!$G$44^2+K160*'Vessel Valuations'!$H$44+'Vessel Valuations'!$I$44</f>
        <v>45.761596385745406</v>
      </c>
      <c r="M160" s="1"/>
      <c r="N160" s="1"/>
      <c r="O160" s="1"/>
      <c r="P160" s="1"/>
      <c r="Q160" s="1"/>
      <c r="R160" s="1"/>
      <c r="AI160" s="21"/>
      <c r="AJ160" s="21"/>
    </row>
    <row r="161" spans="3:36" s="20" customFormat="1" x14ac:dyDescent="0.2">
      <c r="C161" s="17" t="s">
        <v>339</v>
      </c>
      <c r="D161" s="17" t="s">
        <v>13</v>
      </c>
      <c r="E161" s="58" t="s">
        <v>321</v>
      </c>
      <c r="F161" s="34">
        <v>1</v>
      </c>
      <c r="G161" s="34">
        <v>0</v>
      </c>
      <c r="H161" s="1">
        <v>158432</v>
      </c>
      <c r="I161" s="63">
        <v>2017</v>
      </c>
      <c r="J161" s="63">
        <v>2024</v>
      </c>
      <c r="K161" s="56">
        <f t="shared" si="31"/>
        <v>7</v>
      </c>
      <c r="L161" s="1">
        <f>+K161*'Vessel Valuations'!$F$44^3+K161*'Vessel Valuations'!$G$44^2+K161*'Vessel Valuations'!$H$44+'Vessel Valuations'!$I$44</f>
        <v>68.963495327582251</v>
      </c>
      <c r="M161" s="1"/>
      <c r="N161" s="1"/>
      <c r="O161" s="1"/>
      <c r="P161" s="1"/>
      <c r="Q161" s="1"/>
      <c r="R161" s="1"/>
      <c r="AI161" s="21"/>
      <c r="AJ161" s="21"/>
    </row>
    <row r="162" spans="3:36" s="20" customFormat="1" x14ac:dyDescent="0.2">
      <c r="C162" s="17" t="s">
        <v>340</v>
      </c>
      <c r="D162" s="17" t="s">
        <v>13</v>
      </c>
      <c r="E162" s="58" t="s">
        <v>321</v>
      </c>
      <c r="F162" s="34">
        <v>1</v>
      </c>
      <c r="G162" s="34">
        <v>0</v>
      </c>
      <c r="H162" s="1">
        <v>158432</v>
      </c>
      <c r="I162" s="63">
        <v>2017</v>
      </c>
      <c r="J162" s="63">
        <v>2024</v>
      </c>
      <c r="K162" s="56">
        <f t="shared" si="31"/>
        <v>7</v>
      </c>
      <c r="L162" s="1">
        <f>+K162*'Vessel Valuations'!$F$44^3+K162*'Vessel Valuations'!$G$44^2+K162*'Vessel Valuations'!$H$44+'Vessel Valuations'!$I$44</f>
        <v>68.963495327582251</v>
      </c>
      <c r="M162" s="1"/>
      <c r="N162" s="1"/>
      <c r="O162" s="1"/>
      <c r="P162" s="1"/>
      <c r="Q162" s="1"/>
      <c r="R162" s="1"/>
      <c r="AI162" s="21"/>
      <c r="AJ162" s="21"/>
    </row>
    <row r="163" spans="3:36" s="20" customFormat="1" x14ac:dyDescent="0.2">
      <c r="C163" s="17" t="s">
        <v>341</v>
      </c>
      <c r="D163" s="17" t="s">
        <v>13</v>
      </c>
      <c r="E163" s="58" t="s">
        <v>321</v>
      </c>
      <c r="F163" s="34">
        <v>1</v>
      </c>
      <c r="G163" s="34">
        <v>0</v>
      </c>
      <c r="H163" s="1">
        <v>157463</v>
      </c>
      <c r="I163" s="63">
        <v>2016</v>
      </c>
      <c r="J163" s="63">
        <v>2024</v>
      </c>
      <c r="K163" s="56">
        <f t="shared" si="31"/>
        <v>8</v>
      </c>
      <c r="L163" s="1">
        <f>+K163*'Vessel Valuations'!$F$44^3+K163*'Vessel Valuations'!$G$44^2+K163*'Vessel Valuations'!$H$44+'Vessel Valuations'!$I$44</f>
        <v>64.323115539214882</v>
      </c>
      <c r="M163" s="1"/>
      <c r="N163" s="1"/>
      <c r="O163" s="1"/>
      <c r="P163" s="1"/>
      <c r="Q163" s="1"/>
      <c r="R163" s="1"/>
      <c r="AI163" s="21"/>
      <c r="AJ163" s="21"/>
    </row>
    <row r="164" spans="3:36" s="20" customFormat="1" x14ac:dyDescent="0.2">
      <c r="C164" s="17" t="s">
        <v>342</v>
      </c>
      <c r="D164" s="17" t="s">
        <v>12</v>
      </c>
      <c r="E164" s="58" t="s">
        <v>321</v>
      </c>
      <c r="F164" s="34">
        <v>1</v>
      </c>
      <c r="G164" s="34">
        <v>0</v>
      </c>
      <c r="H164" s="1">
        <v>113689</v>
      </c>
      <c r="I164" s="63">
        <v>2017</v>
      </c>
      <c r="J164" s="63">
        <v>2024</v>
      </c>
      <c r="K164" s="56">
        <f t="shared" si="31"/>
        <v>7</v>
      </c>
      <c r="L164" s="1">
        <f>+K164*'Vessel Valuations'!$F$45^3+K164*'Vessel Valuations'!$G$45^2+K164*'Vessel Valuations'!$H$45+'Vessel Valuations'!$I$45</f>
        <v>59.074786001570331</v>
      </c>
      <c r="M164" s="1"/>
      <c r="N164" s="1"/>
      <c r="O164" s="1"/>
      <c r="P164" s="1"/>
      <c r="Q164" s="1"/>
      <c r="R164" s="1"/>
      <c r="AI164" s="21"/>
      <c r="AJ164" s="21"/>
    </row>
    <row r="165" spans="3:36" s="20" customFormat="1" x14ac:dyDescent="0.2">
      <c r="C165" s="17" t="s">
        <v>290</v>
      </c>
      <c r="D165" s="17" t="s">
        <v>12</v>
      </c>
      <c r="E165" s="59" t="s">
        <v>321</v>
      </c>
      <c r="F165" s="34">
        <v>0</v>
      </c>
      <c r="G165" s="34">
        <v>0</v>
      </c>
      <c r="H165" s="1">
        <v>112989</v>
      </c>
      <c r="I165" s="63">
        <v>2009</v>
      </c>
      <c r="J165" s="63">
        <v>2024</v>
      </c>
      <c r="K165" s="56">
        <f t="shared" si="31"/>
        <v>15</v>
      </c>
      <c r="L165" s="1">
        <f>+K165*'Vessel Valuations'!$F$45^3+K165*'Vessel Valuations'!$G$45^2+K165*'Vessel Valuations'!$H$45+'Vessel Valuations'!$I$45</f>
        <v>30.385830143225128</v>
      </c>
      <c r="M165" s="1"/>
      <c r="N165" s="1"/>
      <c r="O165" s="1"/>
      <c r="P165" s="1"/>
      <c r="Q165" s="1"/>
      <c r="R165" s="1"/>
      <c r="AI165" s="21"/>
      <c r="AJ165" s="21"/>
    </row>
    <row r="166" spans="3:36" s="20" customFormat="1" x14ac:dyDescent="0.2">
      <c r="C166" s="17" t="s">
        <v>291</v>
      </c>
      <c r="D166" s="17" t="s">
        <v>12</v>
      </c>
      <c r="E166" s="59" t="s">
        <v>321</v>
      </c>
      <c r="F166" s="34">
        <v>0</v>
      </c>
      <c r="G166" s="34">
        <v>0</v>
      </c>
      <c r="H166" s="1">
        <v>112905</v>
      </c>
      <c r="I166" s="63">
        <v>2009</v>
      </c>
      <c r="J166" s="63">
        <v>2024</v>
      </c>
      <c r="K166" s="56">
        <f t="shared" si="31"/>
        <v>15</v>
      </c>
      <c r="L166" s="1">
        <f>+K166*'Vessel Valuations'!$F$45^3+K166*'Vessel Valuations'!$G$45^2+K166*'Vessel Valuations'!$H$45+'Vessel Valuations'!$I$45</f>
        <v>30.385830143225128</v>
      </c>
      <c r="M166" s="1"/>
      <c r="N166" s="1"/>
      <c r="O166" s="1"/>
      <c r="P166" s="1"/>
      <c r="Q166" s="1"/>
      <c r="R166" s="1"/>
      <c r="AI166" s="21"/>
      <c r="AJ166" s="21"/>
    </row>
    <row r="167" spans="3:36" s="20" customFormat="1" x14ac:dyDescent="0.2">
      <c r="C167" s="17" t="s">
        <v>292</v>
      </c>
      <c r="D167" s="17" t="s">
        <v>12</v>
      </c>
      <c r="E167" s="59" t="s">
        <v>322</v>
      </c>
      <c r="F167" s="34">
        <v>0</v>
      </c>
      <c r="G167" s="34">
        <v>0</v>
      </c>
      <c r="H167" s="1">
        <v>112792</v>
      </c>
      <c r="I167" s="63">
        <v>2013</v>
      </c>
      <c r="J167" s="63">
        <v>2024</v>
      </c>
      <c r="K167" s="56">
        <f t="shared" si="31"/>
        <v>11</v>
      </c>
      <c r="L167" s="1">
        <f>+K167*'Vessel Valuations'!$F$45^3+K167*'Vessel Valuations'!$G$45^2+K167*'Vessel Valuations'!$H$45+'Vessel Valuations'!$I$45</f>
        <v>44.730308072397733</v>
      </c>
      <c r="M167" s="1"/>
      <c r="N167" s="1"/>
      <c r="O167" s="1"/>
      <c r="P167" s="1"/>
      <c r="Q167" s="1"/>
      <c r="R167" s="1"/>
      <c r="AI167" s="21"/>
      <c r="AJ167" s="21"/>
    </row>
    <row r="168" spans="3:36" s="20" customFormat="1" x14ac:dyDescent="0.2">
      <c r="C168" s="17" t="s">
        <v>293</v>
      </c>
      <c r="D168" s="17" t="s">
        <v>17</v>
      </c>
      <c r="E168" s="59" t="s">
        <v>322</v>
      </c>
      <c r="F168" s="34">
        <v>1</v>
      </c>
      <c r="G168" s="34">
        <v>0</v>
      </c>
      <c r="H168" s="1">
        <v>112691</v>
      </c>
      <c r="I168" s="63">
        <v>2014</v>
      </c>
      <c r="J168" s="63">
        <v>2024</v>
      </c>
      <c r="K168" s="56">
        <f t="shared" si="31"/>
        <v>10</v>
      </c>
      <c r="L168" s="1">
        <f>+K168*'Vessel Valuations'!$F$46^3+K168*'Vessel Valuations'!$G$46^2+K168*'Vessel Valuations'!$H$46+'Vessel Valuations'!$I$46</f>
        <v>49.530769005780627</v>
      </c>
      <c r="M168" s="1"/>
      <c r="N168" s="1"/>
      <c r="O168" s="1"/>
      <c r="P168" s="1"/>
      <c r="Q168" s="1"/>
      <c r="R168" s="1"/>
      <c r="AI168" s="21"/>
      <c r="AJ168" s="21"/>
    </row>
    <row r="169" spans="3:36" s="20" customFormat="1" x14ac:dyDescent="0.2">
      <c r="C169" s="17" t="s">
        <v>343</v>
      </c>
      <c r="D169" s="17" t="s">
        <v>14</v>
      </c>
      <c r="E169" s="59" t="s">
        <v>323</v>
      </c>
      <c r="F169" s="34">
        <v>0</v>
      </c>
      <c r="G169" s="34">
        <v>0</v>
      </c>
      <c r="H169" s="1">
        <v>74996</v>
      </c>
      <c r="I169" s="63">
        <v>2008</v>
      </c>
      <c r="J169" s="63">
        <v>2024</v>
      </c>
      <c r="K169" s="56">
        <f t="shared" si="31"/>
        <v>16</v>
      </c>
      <c r="L169" s="1">
        <f>+K169*'Vessel Valuations'!$F$47^3+K169*'Vessel Valuations'!$G$47^2+K169*'Vessel Valuations'!$H$47+'Vessel Valuations'!$I$47</f>
        <v>18.737173101763744</v>
      </c>
      <c r="M169" s="1"/>
      <c r="N169" s="1"/>
      <c r="O169" s="1"/>
      <c r="P169" s="1"/>
      <c r="Q169" s="1"/>
      <c r="R169" s="1"/>
      <c r="AI169" s="21"/>
      <c r="AJ169" s="21"/>
    </row>
    <row r="170" spans="3:36" s="20" customFormat="1" x14ac:dyDescent="0.2">
      <c r="C170" s="17" t="s">
        <v>294</v>
      </c>
      <c r="D170" s="17" t="s">
        <v>14</v>
      </c>
      <c r="E170" s="59" t="s">
        <v>321</v>
      </c>
      <c r="F170" s="34">
        <v>0</v>
      </c>
      <c r="G170" s="34">
        <v>0</v>
      </c>
      <c r="H170" s="1">
        <v>74999</v>
      </c>
      <c r="I170" s="63">
        <v>2009</v>
      </c>
      <c r="J170" s="63">
        <v>2024</v>
      </c>
      <c r="K170" s="56">
        <f t="shared" si="31"/>
        <v>15</v>
      </c>
      <c r="L170" s="1">
        <f>+K170*'Vessel Valuations'!$F$47^3+K170*'Vessel Valuations'!$G$47^2+K170*'Vessel Valuations'!$H$47+'Vessel Valuations'!$I$47</f>
        <v>21.575889992693725</v>
      </c>
      <c r="M170" s="1"/>
      <c r="N170" s="1"/>
      <c r="O170" s="1"/>
      <c r="P170" s="1"/>
      <c r="Q170" s="1"/>
      <c r="R170" s="1"/>
      <c r="AI170" s="21"/>
      <c r="AJ170" s="21"/>
    </row>
    <row r="171" spans="3:36" s="20" customFormat="1" x14ac:dyDescent="0.2">
      <c r="C171" s="17" t="s">
        <v>295</v>
      </c>
      <c r="D171" s="17" t="s">
        <v>14</v>
      </c>
      <c r="E171" s="59" t="s">
        <v>321</v>
      </c>
      <c r="F171" s="34">
        <v>0</v>
      </c>
      <c r="G171" s="34">
        <v>0</v>
      </c>
      <c r="H171" s="1">
        <v>74997</v>
      </c>
      <c r="I171" s="63">
        <v>2011</v>
      </c>
      <c r="J171" s="63">
        <v>2024</v>
      </c>
      <c r="K171" s="56">
        <f t="shared" si="31"/>
        <v>13</v>
      </c>
      <c r="L171" s="1">
        <f>+K171*'Vessel Valuations'!$F$47^3+K171*'Vessel Valuations'!$G$47^2+K171*'Vessel Valuations'!$H$47+'Vessel Valuations'!$I$47</f>
        <v>27.253323774553678</v>
      </c>
      <c r="M171" s="1"/>
      <c r="N171" s="1"/>
      <c r="O171" s="1"/>
      <c r="P171" s="1"/>
      <c r="Q171" s="1"/>
      <c r="R171" s="1"/>
      <c r="AI171" s="21"/>
      <c r="AJ171" s="21"/>
    </row>
    <row r="172" spans="3:36" s="20" customFormat="1" x14ac:dyDescent="0.2">
      <c r="C172" s="17" t="s">
        <v>296</v>
      </c>
      <c r="D172" s="17" t="s">
        <v>14</v>
      </c>
      <c r="E172" s="59" t="s">
        <v>321</v>
      </c>
      <c r="F172" s="34">
        <v>0</v>
      </c>
      <c r="G172" s="34">
        <v>0</v>
      </c>
      <c r="H172" s="1">
        <v>74933</v>
      </c>
      <c r="I172" s="63">
        <v>2006</v>
      </c>
      <c r="J172" s="63">
        <v>2024</v>
      </c>
      <c r="K172" s="56">
        <f t="shared" si="31"/>
        <v>18</v>
      </c>
      <c r="L172" s="1">
        <f>+K172*'Vessel Valuations'!$F$47^3+K172*'Vessel Valuations'!$G$47^2+K172*'Vessel Valuations'!$H$47+'Vessel Valuations'!$I$47</f>
        <v>13.059739319903798</v>
      </c>
      <c r="M172" s="1"/>
      <c r="N172" s="1"/>
      <c r="O172" s="1"/>
      <c r="P172" s="1"/>
      <c r="Q172" s="1"/>
      <c r="R172" s="1"/>
      <c r="AI172" s="21"/>
      <c r="AJ172" s="21"/>
    </row>
    <row r="173" spans="3:36" x14ac:dyDescent="0.2">
      <c r="C173" s="17" t="s">
        <v>297</v>
      </c>
      <c r="D173" s="17" t="s">
        <v>14</v>
      </c>
      <c r="E173" s="57" t="s">
        <v>321</v>
      </c>
      <c r="F173" s="34">
        <v>0</v>
      </c>
      <c r="G173" s="34">
        <v>0</v>
      </c>
      <c r="H173" s="20">
        <v>74909</v>
      </c>
      <c r="I173" s="63">
        <v>2006</v>
      </c>
      <c r="J173" s="63">
        <v>2024</v>
      </c>
      <c r="K173" s="56">
        <f t="shared" si="31"/>
        <v>18</v>
      </c>
      <c r="L173" s="1">
        <f>+K173*'Vessel Valuations'!$F$47^3+K173*'Vessel Valuations'!$G$47^2+K173*'Vessel Valuations'!$H$47+'Vessel Valuations'!$I$47</f>
        <v>13.059739319903798</v>
      </c>
    </row>
    <row r="174" spans="3:36" x14ac:dyDescent="0.2">
      <c r="C174" s="17" t="s">
        <v>298</v>
      </c>
      <c r="D174" s="17" t="s">
        <v>14</v>
      </c>
      <c r="E174" s="57" t="s">
        <v>321</v>
      </c>
      <c r="F174" s="34">
        <v>0</v>
      </c>
      <c r="G174" s="34">
        <v>0</v>
      </c>
      <c r="H174" s="20">
        <v>73944</v>
      </c>
      <c r="I174" s="63">
        <v>2011</v>
      </c>
      <c r="J174" s="63">
        <v>2024</v>
      </c>
      <c r="K174" s="56">
        <f t="shared" si="31"/>
        <v>13</v>
      </c>
      <c r="L174" s="1">
        <f>+K174*'Vessel Valuations'!$F$47^3+K174*'Vessel Valuations'!$G$47^2+K174*'Vessel Valuations'!$H$47+'Vessel Valuations'!$I$47</f>
        <v>27.253323774553678</v>
      </c>
    </row>
    <row r="175" spans="3:36" x14ac:dyDescent="0.2">
      <c r="C175" s="17" t="s">
        <v>299</v>
      </c>
      <c r="D175" s="17" t="s">
        <v>14</v>
      </c>
      <c r="E175" s="57" t="s">
        <v>321</v>
      </c>
      <c r="F175" s="34">
        <v>0</v>
      </c>
      <c r="G175" s="34">
        <v>0</v>
      </c>
      <c r="H175" s="20">
        <v>73920</v>
      </c>
      <c r="I175" s="63">
        <v>2011</v>
      </c>
      <c r="J175" s="63">
        <v>2024</v>
      </c>
      <c r="K175" s="56">
        <f t="shared" si="31"/>
        <v>13</v>
      </c>
      <c r="L175" s="1">
        <f>+K175*'Vessel Valuations'!$F$47^3+K175*'Vessel Valuations'!$G$47^2+K175*'Vessel Valuations'!$H$47+'Vessel Valuations'!$I$47</f>
        <v>27.253323774553678</v>
      </c>
    </row>
    <row r="176" spans="3:36" x14ac:dyDescent="0.2">
      <c r="C176" s="17" t="s">
        <v>300</v>
      </c>
      <c r="D176" s="17" t="s">
        <v>15</v>
      </c>
      <c r="E176" s="57" t="s">
        <v>321</v>
      </c>
      <c r="F176" s="34">
        <v>0</v>
      </c>
      <c r="G176" s="34">
        <v>0</v>
      </c>
      <c r="H176" s="20">
        <v>51549</v>
      </c>
      <c r="I176" s="63">
        <v>2009</v>
      </c>
      <c r="J176" s="63">
        <v>2024</v>
      </c>
      <c r="K176" s="56">
        <f t="shared" si="31"/>
        <v>15</v>
      </c>
      <c r="L176" s="1">
        <f>+K176*'Vessel Valuations'!$F$48^3+K176*'Vessel Valuations'!$G$48^2+K176*'Vessel Valuations'!$H$48+'Vessel Valuations'!$I$48</f>
        <v>18.095907348777345</v>
      </c>
    </row>
    <row r="177" spans="3:12" x14ac:dyDescent="0.2">
      <c r="C177" s="17" t="s">
        <v>301</v>
      </c>
      <c r="D177" s="17" t="s">
        <v>15</v>
      </c>
      <c r="E177" s="57" t="s">
        <v>321</v>
      </c>
      <c r="F177" s="34">
        <v>0</v>
      </c>
      <c r="G177" s="34">
        <v>0</v>
      </c>
      <c r="H177" s="20">
        <v>51510</v>
      </c>
      <c r="I177" s="63">
        <v>2009</v>
      </c>
      <c r="J177" s="63">
        <v>2024</v>
      </c>
      <c r="K177" s="56">
        <f t="shared" si="31"/>
        <v>15</v>
      </c>
      <c r="L177" s="1">
        <f>+K177*'Vessel Valuations'!$F$48^3+K177*'Vessel Valuations'!$G$48^2+K177*'Vessel Valuations'!$H$48+'Vessel Valuations'!$I$48</f>
        <v>18.095907348777345</v>
      </c>
    </row>
    <row r="178" spans="3:12" x14ac:dyDescent="0.2">
      <c r="C178" s="17" t="s">
        <v>302</v>
      </c>
      <c r="D178" s="17" t="s">
        <v>15</v>
      </c>
      <c r="E178" s="57" t="s">
        <v>321</v>
      </c>
      <c r="F178" s="34">
        <v>0</v>
      </c>
      <c r="G178" s="34">
        <v>0</v>
      </c>
      <c r="H178" s="20">
        <v>51498</v>
      </c>
      <c r="I178" s="63">
        <v>2009</v>
      </c>
      <c r="J178" s="63">
        <v>2024</v>
      </c>
      <c r="K178" s="56">
        <f t="shared" si="31"/>
        <v>15</v>
      </c>
      <c r="L178" s="1">
        <f>+K178*'Vessel Valuations'!$F$48^3+K178*'Vessel Valuations'!$G$48^2+K178*'Vessel Valuations'!$H$48+'Vessel Valuations'!$I$48</f>
        <v>18.095907348777345</v>
      </c>
    </row>
    <row r="179" spans="3:12" x14ac:dyDescent="0.2">
      <c r="C179" s="17" t="s">
        <v>303</v>
      </c>
      <c r="D179" s="17" t="s">
        <v>15</v>
      </c>
      <c r="E179" s="57" t="s">
        <v>322</v>
      </c>
      <c r="F179" s="34">
        <v>0</v>
      </c>
      <c r="G179" s="34">
        <v>0</v>
      </c>
      <c r="H179" s="20">
        <v>51483</v>
      </c>
      <c r="I179" s="63">
        <v>2010</v>
      </c>
      <c r="J179" s="63">
        <v>2024</v>
      </c>
      <c r="K179" s="56">
        <f t="shared" si="31"/>
        <v>14</v>
      </c>
      <c r="L179" s="1">
        <f>+K179*'Vessel Valuations'!$F$48^3+K179*'Vessel Valuations'!$G$48^2+K179*'Vessel Valuations'!$H$48+'Vessel Valuations'!$I$48</f>
        <v>20.60140163741363</v>
      </c>
    </row>
    <row r="180" spans="3:12" x14ac:dyDescent="0.2">
      <c r="C180" s="17" t="s">
        <v>304</v>
      </c>
      <c r="D180" s="17" t="s">
        <v>15</v>
      </c>
      <c r="E180" s="57" t="s">
        <v>321</v>
      </c>
      <c r="F180" s="34">
        <v>0</v>
      </c>
      <c r="G180" s="34">
        <v>0</v>
      </c>
      <c r="H180" s="20">
        <v>51476</v>
      </c>
      <c r="I180" s="63">
        <v>2009</v>
      </c>
      <c r="J180" s="63">
        <v>2024</v>
      </c>
      <c r="K180" s="56">
        <f t="shared" si="31"/>
        <v>15</v>
      </c>
      <c r="L180" s="1">
        <f>+K180*'Vessel Valuations'!$F$48^3+K180*'Vessel Valuations'!$G$48^2+K180*'Vessel Valuations'!$H$48+'Vessel Valuations'!$I$48</f>
        <v>18.095907348777345</v>
      </c>
    </row>
    <row r="181" spans="3:12" x14ac:dyDescent="0.2">
      <c r="C181" s="17" t="s">
        <v>305</v>
      </c>
      <c r="D181" s="17" t="s">
        <v>15</v>
      </c>
      <c r="E181" s="57" t="s">
        <v>321</v>
      </c>
      <c r="F181" s="34">
        <v>0</v>
      </c>
      <c r="G181" s="34">
        <v>0</v>
      </c>
      <c r="H181" s="20">
        <v>51260</v>
      </c>
      <c r="I181" s="63">
        <v>2009</v>
      </c>
      <c r="J181" s="63">
        <v>2024</v>
      </c>
      <c r="K181" s="56">
        <f t="shared" si="31"/>
        <v>15</v>
      </c>
      <c r="L181" s="1">
        <f>+K181*'Vessel Valuations'!$F$48^3+K181*'Vessel Valuations'!$G$48^2+K181*'Vessel Valuations'!$H$48+'Vessel Valuations'!$I$48</f>
        <v>18.095907348777345</v>
      </c>
    </row>
    <row r="182" spans="3:12" x14ac:dyDescent="0.2">
      <c r="C182" s="17" t="s">
        <v>306</v>
      </c>
      <c r="D182" s="17" t="s">
        <v>15</v>
      </c>
      <c r="E182" s="57" t="s">
        <v>321</v>
      </c>
      <c r="F182" s="34">
        <v>0</v>
      </c>
      <c r="G182" s="34">
        <v>0</v>
      </c>
      <c r="H182" s="20">
        <v>51258</v>
      </c>
      <c r="I182" s="63">
        <v>2008</v>
      </c>
      <c r="J182" s="63">
        <v>2024</v>
      </c>
      <c r="K182" s="56">
        <f t="shared" si="31"/>
        <v>16</v>
      </c>
      <c r="L182" s="1">
        <f>+K182*'Vessel Valuations'!$F$48^3+K182*'Vessel Valuations'!$G$48^2+K182*'Vessel Valuations'!$H$48+'Vessel Valuations'!$I$48</f>
        <v>15.590413060141053</v>
      </c>
    </row>
    <row r="183" spans="3:12" x14ac:dyDescent="0.2">
      <c r="C183" s="17" t="s">
        <v>307</v>
      </c>
      <c r="D183" s="17" t="s">
        <v>15</v>
      </c>
      <c r="E183" s="57" t="s">
        <v>321</v>
      </c>
      <c r="F183" s="34">
        <v>0</v>
      </c>
      <c r="G183" s="34">
        <v>0</v>
      </c>
      <c r="H183" s="20">
        <v>51226</v>
      </c>
      <c r="I183" s="63">
        <v>2008</v>
      </c>
      <c r="J183" s="63">
        <v>2024</v>
      </c>
      <c r="K183" s="56">
        <f t="shared" si="31"/>
        <v>16</v>
      </c>
      <c r="L183" s="1">
        <f>+K183*'Vessel Valuations'!$F$48^3+K183*'Vessel Valuations'!$G$48^2+K183*'Vessel Valuations'!$H$48+'Vessel Valuations'!$I$48</f>
        <v>15.590413060141053</v>
      </c>
    </row>
    <row r="184" spans="3:12" x14ac:dyDescent="0.2">
      <c r="C184" s="17" t="s">
        <v>308</v>
      </c>
      <c r="D184" s="17" t="s">
        <v>15</v>
      </c>
      <c r="E184" s="57" t="s">
        <v>322</v>
      </c>
      <c r="F184" s="34">
        <v>0</v>
      </c>
      <c r="G184" s="34">
        <v>0</v>
      </c>
      <c r="H184" s="20">
        <v>50378</v>
      </c>
      <c r="I184" s="63">
        <v>2011</v>
      </c>
      <c r="J184" s="63">
        <v>2024</v>
      </c>
      <c r="K184" s="56">
        <f t="shared" si="31"/>
        <v>13</v>
      </c>
      <c r="L184" s="1">
        <f>+K184*'Vessel Valuations'!$F$48^3+K184*'Vessel Valuations'!$G$48^2+K184*'Vessel Valuations'!$H$48+'Vessel Valuations'!$I$48</f>
        <v>23.106895926049923</v>
      </c>
    </row>
    <row r="185" spans="3:12" x14ac:dyDescent="0.2">
      <c r="C185" s="17" t="s">
        <v>309</v>
      </c>
      <c r="D185" s="17" t="s">
        <v>15</v>
      </c>
      <c r="E185" s="57" t="s">
        <v>322</v>
      </c>
      <c r="F185" s="34">
        <v>0</v>
      </c>
      <c r="G185" s="34">
        <v>0</v>
      </c>
      <c r="H185" s="20">
        <v>50342</v>
      </c>
      <c r="I185" s="63">
        <v>2012</v>
      </c>
      <c r="J185" s="63">
        <v>2024</v>
      </c>
      <c r="K185" s="56">
        <f t="shared" si="31"/>
        <v>12</v>
      </c>
      <c r="L185" s="1">
        <f>+K185*'Vessel Valuations'!$F$48^3+K185*'Vessel Valuations'!$G$48^2+K185*'Vessel Valuations'!$H$48+'Vessel Valuations'!$I$48</f>
        <v>25.612390214686211</v>
      </c>
    </row>
    <row r="186" spans="3:12" x14ac:dyDescent="0.2">
      <c r="C186" s="17" t="s">
        <v>310</v>
      </c>
      <c r="D186" s="17" t="s">
        <v>15</v>
      </c>
      <c r="E186" s="57" t="s">
        <v>322</v>
      </c>
      <c r="F186" s="34">
        <v>0</v>
      </c>
      <c r="G186" s="34">
        <v>0</v>
      </c>
      <c r="H186" s="20">
        <v>50284</v>
      </c>
      <c r="I186" s="63">
        <v>2010</v>
      </c>
      <c r="J186" s="63">
        <v>2024</v>
      </c>
      <c r="K186" s="56">
        <f t="shared" si="31"/>
        <v>14</v>
      </c>
      <c r="L186" s="1">
        <f>+K186*'Vessel Valuations'!$F$48^3+K186*'Vessel Valuations'!$G$48^2+K186*'Vessel Valuations'!$H$48+'Vessel Valuations'!$I$48</f>
        <v>20.60140163741363</v>
      </c>
    </row>
    <row r="187" spans="3:12" x14ac:dyDescent="0.2">
      <c r="C187" s="17" t="s">
        <v>311</v>
      </c>
      <c r="D187" s="17" t="s">
        <v>15</v>
      </c>
      <c r="E187" s="57" t="s">
        <v>321</v>
      </c>
      <c r="F187" s="34">
        <v>0</v>
      </c>
      <c r="G187" s="34">
        <v>0</v>
      </c>
      <c r="H187" s="20">
        <v>50221</v>
      </c>
      <c r="I187" s="63">
        <v>2009</v>
      </c>
      <c r="J187" s="63">
        <v>2024</v>
      </c>
      <c r="K187" s="56">
        <f t="shared" si="31"/>
        <v>15</v>
      </c>
      <c r="L187" s="1">
        <f>+K187*'Vessel Valuations'!$F$48^3+K187*'Vessel Valuations'!$G$48^2+K187*'Vessel Valuations'!$H$48+'Vessel Valuations'!$I$48</f>
        <v>18.095907348777345</v>
      </c>
    </row>
    <row r="188" spans="3:12" x14ac:dyDescent="0.2">
      <c r="C188" s="17" t="s">
        <v>344</v>
      </c>
      <c r="D188" s="17" t="s">
        <v>15</v>
      </c>
      <c r="E188" s="57" t="s">
        <v>321</v>
      </c>
      <c r="F188" s="34">
        <v>1</v>
      </c>
      <c r="G188" s="34">
        <v>0</v>
      </c>
      <c r="H188" s="20">
        <v>50136</v>
      </c>
      <c r="I188" s="63">
        <v>2015</v>
      </c>
      <c r="J188" s="63">
        <v>2024</v>
      </c>
      <c r="K188" s="56">
        <f t="shared" si="31"/>
        <v>9</v>
      </c>
      <c r="L188" s="1">
        <f>+K188*'Vessel Valuations'!$F$48^3+K188*'Vessel Valuations'!$G$48^2+K188*'Vessel Valuations'!$H$48+'Vessel Valuations'!$I$48</f>
        <v>33.128873080595078</v>
      </c>
    </row>
    <row r="189" spans="3:12" x14ac:dyDescent="0.2">
      <c r="C189" s="17" t="s">
        <v>345</v>
      </c>
      <c r="D189" s="17" t="s">
        <v>15</v>
      </c>
      <c r="E189" s="57" t="s">
        <v>321</v>
      </c>
      <c r="F189" s="34">
        <v>1</v>
      </c>
      <c r="G189" s="34">
        <v>0</v>
      </c>
      <c r="H189" s="20">
        <v>50108</v>
      </c>
      <c r="I189" s="63">
        <v>2015</v>
      </c>
      <c r="J189" s="63">
        <v>2024</v>
      </c>
      <c r="K189" s="56">
        <f t="shared" si="31"/>
        <v>9</v>
      </c>
      <c r="L189" s="1">
        <f>+K189*'Vessel Valuations'!$F$48^3+K189*'Vessel Valuations'!$G$48^2+K189*'Vessel Valuations'!$H$48+'Vessel Valuations'!$I$48</f>
        <v>33.128873080595078</v>
      </c>
    </row>
    <row r="190" spans="3:12" x14ac:dyDescent="0.2">
      <c r="C190" s="17" t="s">
        <v>346</v>
      </c>
      <c r="D190" s="17" t="s">
        <v>15</v>
      </c>
      <c r="E190" s="57" t="s">
        <v>321</v>
      </c>
      <c r="F190" s="34">
        <v>1</v>
      </c>
      <c r="G190" s="34">
        <v>0</v>
      </c>
      <c r="H190" s="20">
        <v>50082</v>
      </c>
      <c r="I190" s="63">
        <v>2016</v>
      </c>
      <c r="J190" s="63">
        <v>2024</v>
      </c>
      <c r="K190" s="56">
        <f t="shared" si="31"/>
        <v>8</v>
      </c>
      <c r="L190" s="1">
        <f>+K190*'Vessel Valuations'!$F$48^3+K190*'Vessel Valuations'!$G$48^2+K190*'Vessel Valuations'!$H$48+'Vessel Valuations'!$I$48</f>
        <v>35.63436736923137</v>
      </c>
    </row>
    <row r="191" spans="3:12" x14ac:dyDescent="0.2">
      <c r="C191" s="17" t="s">
        <v>347</v>
      </c>
      <c r="D191" s="17" t="s">
        <v>15</v>
      </c>
      <c r="E191" s="57" t="s">
        <v>321</v>
      </c>
      <c r="F191" s="34">
        <v>0</v>
      </c>
      <c r="G191" s="34">
        <v>0</v>
      </c>
      <c r="H191" s="20">
        <v>49999</v>
      </c>
      <c r="I191" s="63">
        <v>2008</v>
      </c>
      <c r="J191" s="63">
        <v>2024</v>
      </c>
      <c r="K191" s="56">
        <f t="shared" si="31"/>
        <v>16</v>
      </c>
      <c r="L191" s="1">
        <f>+K191*'Vessel Valuations'!$F$48^3+K191*'Vessel Valuations'!$G$48^2+K191*'Vessel Valuations'!$H$48+'Vessel Valuations'!$I$48</f>
        <v>15.590413060141053</v>
      </c>
    </row>
    <row r="192" spans="3:12" x14ac:dyDescent="0.2">
      <c r="C192" s="17" t="s">
        <v>348</v>
      </c>
      <c r="D192" s="17" t="s">
        <v>15</v>
      </c>
      <c r="E192" s="57" t="s">
        <v>321</v>
      </c>
      <c r="F192" s="34">
        <v>0</v>
      </c>
      <c r="G192" s="34">
        <v>1</v>
      </c>
      <c r="H192" s="20">
        <v>49999</v>
      </c>
      <c r="I192" s="63">
        <v>2008</v>
      </c>
      <c r="J192" s="63">
        <v>2024</v>
      </c>
      <c r="K192" s="56">
        <f t="shared" si="31"/>
        <v>16</v>
      </c>
      <c r="L192" s="1">
        <f>+K192*'Vessel Valuations'!$F$48^3+K192*'Vessel Valuations'!$G$48^2+K192*'Vessel Valuations'!$H$48+'Vessel Valuations'!$I$48</f>
        <v>15.590413060141053</v>
      </c>
    </row>
    <row r="193" spans="3:12" x14ac:dyDescent="0.2">
      <c r="C193" s="17" t="s">
        <v>349</v>
      </c>
      <c r="D193" s="17" t="s">
        <v>15</v>
      </c>
      <c r="E193" s="57" t="s">
        <v>321</v>
      </c>
      <c r="F193" s="34">
        <v>0</v>
      </c>
      <c r="G193" s="34">
        <v>1</v>
      </c>
      <c r="H193" s="20">
        <v>49999</v>
      </c>
      <c r="I193" s="63">
        <v>2008</v>
      </c>
      <c r="J193" s="63">
        <v>2024</v>
      </c>
      <c r="K193" s="56">
        <f t="shared" si="31"/>
        <v>16</v>
      </c>
      <c r="L193" s="1">
        <f>+K193*'Vessel Valuations'!$F$48^3+K193*'Vessel Valuations'!$G$48^2+K193*'Vessel Valuations'!$H$48+'Vessel Valuations'!$I$48</f>
        <v>15.590413060141053</v>
      </c>
    </row>
    <row r="194" spans="3:12" x14ac:dyDescent="0.2">
      <c r="C194" s="17" t="s">
        <v>350</v>
      </c>
      <c r="D194" s="17" t="s">
        <v>15</v>
      </c>
      <c r="E194" s="57" t="s">
        <v>321</v>
      </c>
      <c r="F194" s="34">
        <v>0</v>
      </c>
      <c r="G194" s="34">
        <v>1</v>
      </c>
      <c r="H194" s="20">
        <v>49999</v>
      </c>
      <c r="I194" s="63">
        <v>2009</v>
      </c>
      <c r="J194" s="63">
        <v>2024</v>
      </c>
      <c r="K194" s="56">
        <f t="shared" si="31"/>
        <v>15</v>
      </c>
      <c r="L194" s="1">
        <f>+K194*'Vessel Valuations'!$F$48^3+K194*'Vessel Valuations'!$G$48^2+K194*'Vessel Valuations'!$H$48+'Vessel Valuations'!$I$48</f>
        <v>18.095907348777345</v>
      </c>
    </row>
    <row r="195" spans="3:12" x14ac:dyDescent="0.2">
      <c r="C195" s="17" t="s">
        <v>312</v>
      </c>
      <c r="D195" s="17" t="s">
        <v>15</v>
      </c>
      <c r="E195" s="57" t="s">
        <v>321</v>
      </c>
      <c r="F195" s="34">
        <v>0</v>
      </c>
      <c r="G195" s="34">
        <v>0</v>
      </c>
      <c r="H195" s="20">
        <v>49999</v>
      </c>
      <c r="I195" s="63">
        <v>2009</v>
      </c>
      <c r="J195" s="63">
        <v>2024</v>
      </c>
      <c r="K195" s="56">
        <f t="shared" si="31"/>
        <v>15</v>
      </c>
      <c r="L195" s="1">
        <f>+K195*'Vessel Valuations'!$F$48^3+K195*'Vessel Valuations'!$G$48^2+K195*'Vessel Valuations'!$H$48+'Vessel Valuations'!$I$48</f>
        <v>18.095907348777345</v>
      </c>
    </row>
    <row r="196" spans="3:12" x14ac:dyDescent="0.2">
      <c r="C196" s="17" t="s">
        <v>351</v>
      </c>
      <c r="D196" s="17" t="s">
        <v>15</v>
      </c>
      <c r="E196" s="57" t="s">
        <v>321</v>
      </c>
      <c r="F196" s="34">
        <v>1</v>
      </c>
      <c r="G196" s="34">
        <v>0</v>
      </c>
      <c r="H196" s="20">
        <v>49999</v>
      </c>
      <c r="I196" s="63">
        <v>2015</v>
      </c>
      <c r="J196" s="63">
        <v>2024</v>
      </c>
      <c r="K196" s="56">
        <f t="shared" si="31"/>
        <v>9</v>
      </c>
      <c r="L196" s="1">
        <f>+K196*'Vessel Valuations'!$F$48^3+K196*'Vessel Valuations'!$G$48^2+K196*'Vessel Valuations'!$H$48+'Vessel Valuations'!$I$48</f>
        <v>33.128873080595078</v>
      </c>
    </row>
    <row r="197" spans="3:12" x14ac:dyDescent="0.2">
      <c r="C197" s="17" t="s">
        <v>352</v>
      </c>
      <c r="D197" s="17" t="s">
        <v>15</v>
      </c>
      <c r="E197" s="57" t="s">
        <v>321</v>
      </c>
      <c r="F197" s="34">
        <v>0</v>
      </c>
      <c r="G197" s="34">
        <v>0</v>
      </c>
      <c r="H197" s="20">
        <v>49999</v>
      </c>
      <c r="I197" s="63">
        <v>2007</v>
      </c>
      <c r="J197" s="63">
        <v>2024</v>
      </c>
      <c r="K197" s="56">
        <f t="shared" si="31"/>
        <v>17</v>
      </c>
      <c r="L197" s="1">
        <f>+K197*'Vessel Valuations'!$F$48^3+K197*'Vessel Valuations'!$G$48^2+K197*'Vessel Valuations'!$H$48+'Vessel Valuations'!$I$48</f>
        <v>13.084918771504768</v>
      </c>
    </row>
    <row r="198" spans="3:12" x14ac:dyDescent="0.2">
      <c r="C198" s="17" t="s">
        <v>313</v>
      </c>
      <c r="D198" s="17" t="s">
        <v>15</v>
      </c>
      <c r="E198" s="57" t="s">
        <v>321</v>
      </c>
      <c r="F198" s="34">
        <v>0</v>
      </c>
      <c r="G198" s="34">
        <v>0</v>
      </c>
      <c r="H198" s="20">
        <v>49999</v>
      </c>
      <c r="I198" s="63">
        <v>2008</v>
      </c>
      <c r="J198" s="63">
        <v>2024</v>
      </c>
      <c r="K198" s="56">
        <f t="shared" si="31"/>
        <v>16</v>
      </c>
      <c r="L198" s="1">
        <f>+K198*'Vessel Valuations'!$F$48^3+K198*'Vessel Valuations'!$G$48^2+K198*'Vessel Valuations'!$H$48+'Vessel Valuations'!$I$48</f>
        <v>15.590413060141053</v>
      </c>
    </row>
    <row r="199" spans="3:12" x14ac:dyDescent="0.2">
      <c r="C199" s="17" t="s">
        <v>353</v>
      </c>
      <c r="D199" s="17" t="s">
        <v>15</v>
      </c>
      <c r="E199" s="57" t="s">
        <v>321</v>
      </c>
      <c r="F199" s="34">
        <v>0</v>
      </c>
      <c r="G199" s="34">
        <v>0</v>
      </c>
      <c r="H199" s="20">
        <v>49999</v>
      </c>
      <c r="I199" s="63">
        <v>2008</v>
      </c>
      <c r="J199" s="63">
        <v>2024</v>
      </c>
      <c r="K199" s="56">
        <f t="shared" si="31"/>
        <v>16</v>
      </c>
      <c r="L199" s="1">
        <f>+K199*'Vessel Valuations'!$F$48^3+K199*'Vessel Valuations'!$G$48^2+K199*'Vessel Valuations'!$H$48+'Vessel Valuations'!$I$48</f>
        <v>15.590413060141053</v>
      </c>
    </row>
    <row r="200" spans="3:12" x14ac:dyDescent="0.2">
      <c r="C200" s="17" t="s">
        <v>314</v>
      </c>
      <c r="D200" s="17" t="s">
        <v>15</v>
      </c>
      <c r="E200" s="57" t="s">
        <v>321</v>
      </c>
      <c r="F200" s="34">
        <v>0</v>
      </c>
      <c r="G200" s="34">
        <v>0</v>
      </c>
      <c r="H200" s="20">
        <v>49999</v>
      </c>
      <c r="I200" s="63">
        <v>2009</v>
      </c>
      <c r="J200" s="63">
        <v>2024</v>
      </c>
      <c r="K200" s="56">
        <f t="shared" si="31"/>
        <v>15</v>
      </c>
      <c r="L200" s="1">
        <f>+K200*'Vessel Valuations'!$F$48^3+K200*'Vessel Valuations'!$G$48^2+K200*'Vessel Valuations'!$H$48+'Vessel Valuations'!$I$48</f>
        <v>18.095907348777345</v>
      </c>
    </row>
    <row r="201" spans="3:12" x14ac:dyDescent="0.2">
      <c r="C201" s="17" t="s">
        <v>354</v>
      </c>
      <c r="D201" s="17" t="s">
        <v>15</v>
      </c>
      <c r="E201" s="57" t="s">
        <v>321</v>
      </c>
      <c r="F201" s="34">
        <v>0</v>
      </c>
      <c r="G201" s="34">
        <v>0</v>
      </c>
      <c r="H201" s="20">
        <v>49999</v>
      </c>
      <c r="I201" s="63">
        <v>2008</v>
      </c>
      <c r="J201" s="63">
        <v>2024</v>
      </c>
      <c r="K201" s="56">
        <f t="shared" si="31"/>
        <v>16</v>
      </c>
      <c r="L201" s="1">
        <f>+K201*'Vessel Valuations'!$F$48^3+K201*'Vessel Valuations'!$G$48^2+K201*'Vessel Valuations'!$H$48+'Vessel Valuations'!$I$48</f>
        <v>15.590413060141053</v>
      </c>
    </row>
    <row r="202" spans="3:12" x14ac:dyDescent="0.2">
      <c r="C202" s="17" t="s">
        <v>355</v>
      </c>
      <c r="D202" s="17" t="s">
        <v>15</v>
      </c>
      <c r="E202" s="57" t="s">
        <v>321</v>
      </c>
      <c r="F202" s="34">
        <v>0</v>
      </c>
      <c r="G202" s="34">
        <v>0</v>
      </c>
      <c r="H202" s="20">
        <v>49999</v>
      </c>
      <c r="I202" s="63">
        <v>2008</v>
      </c>
      <c r="J202" s="63">
        <v>2024</v>
      </c>
      <c r="K202" s="56">
        <f t="shared" ref="K202:K209" si="32">+(J202-I202)</f>
        <v>16</v>
      </c>
      <c r="L202" s="1">
        <f>+K202*'Vessel Valuations'!$F$48^3+K202*'Vessel Valuations'!$G$48^2+K202*'Vessel Valuations'!$H$48+'Vessel Valuations'!$I$48</f>
        <v>15.590413060141053</v>
      </c>
    </row>
    <row r="203" spans="3:12" x14ac:dyDescent="0.2">
      <c r="C203" s="17" t="s">
        <v>356</v>
      </c>
      <c r="D203" s="17" t="s">
        <v>15</v>
      </c>
      <c r="E203" s="57" t="s">
        <v>321</v>
      </c>
      <c r="F203" s="34">
        <v>0</v>
      </c>
      <c r="G203" s="34">
        <v>0</v>
      </c>
      <c r="H203" s="20">
        <v>49999</v>
      </c>
      <c r="I203" s="63">
        <v>2008</v>
      </c>
      <c r="J203" s="63">
        <v>2024</v>
      </c>
      <c r="K203" s="56">
        <f t="shared" si="32"/>
        <v>16</v>
      </c>
      <c r="L203" s="1">
        <f>+K203*'Vessel Valuations'!$F$48^3+K203*'Vessel Valuations'!$G$48^2+K203*'Vessel Valuations'!$H$48+'Vessel Valuations'!$I$48</f>
        <v>15.590413060141053</v>
      </c>
    </row>
    <row r="204" spans="3:12" x14ac:dyDescent="0.2">
      <c r="C204" s="17" t="s">
        <v>357</v>
      </c>
      <c r="D204" s="17" t="s">
        <v>15</v>
      </c>
      <c r="E204" s="57" t="s">
        <v>321</v>
      </c>
      <c r="F204" s="34">
        <v>0</v>
      </c>
      <c r="G204" s="34">
        <v>0</v>
      </c>
      <c r="H204" s="20">
        <v>49999</v>
      </c>
      <c r="I204" s="63">
        <v>2007</v>
      </c>
      <c r="J204" s="63">
        <v>2024</v>
      </c>
      <c r="K204" s="56">
        <f t="shared" si="32"/>
        <v>17</v>
      </c>
      <c r="L204" s="1">
        <f>+K204*'Vessel Valuations'!$F$48^3+K204*'Vessel Valuations'!$G$48^2+K204*'Vessel Valuations'!$H$48+'Vessel Valuations'!$I$48</f>
        <v>13.084918771504768</v>
      </c>
    </row>
    <row r="205" spans="3:12" x14ac:dyDescent="0.2">
      <c r="C205" s="17" t="s">
        <v>315</v>
      </c>
      <c r="D205" s="17" t="s">
        <v>15</v>
      </c>
      <c r="E205" s="57" t="s">
        <v>321</v>
      </c>
      <c r="F205" s="34">
        <v>0</v>
      </c>
      <c r="G205" s="34">
        <v>0</v>
      </c>
      <c r="H205" s="20">
        <v>48012</v>
      </c>
      <c r="I205" s="63">
        <v>2009</v>
      </c>
      <c r="J205" s="63">
        <v>2024</v>
      </c>
      <c r="K205" s="56">
        <f t="shared" si="32"/>
        <v>15</v>
      </c>
      <c r="L205" s="1">
        <f>+K205*'Vessel Valuations'!$F$48^3+K205*'Vessel Valuations'!$G$48^2+K205*'Vessel Valuations'!$H$48+'Vessel Valuations'!$I$48</f>
        <v>18.095907348777345</v>
      </c>
    </row>
    <row r="206" spans="3:12" x14ac:dyDescent="0.2">
      <c r="C206" s="17" t="s">
        <v>316</v>
      </c>
      <c r="D206" s="17" t="s">
        <v>15</v>
      </c>
      <c r="E206" s="57" t="s">
        <v>321</v>
      </c>
      <c r="F206" s="34">
        <v>0</v>
      </c>
      <c r="G206" s="34">
        <v>0</v>
      </c>
      <c r="H206" s="20">
        <v>47872</v>
      </c>
      <c r="I206" s="63">
        <v>2007</v>
      </c>
      <c r="J206" s="63">
        <v>2024</v>
      </c>
      <c r="K206" s="56">
        <f t="shared" si="32"/>
        <v>17</v>
      </c>
      <c r="L206" s="1">
        <f>+K206*'Vessel Valuations'!$F$48^3+K206*'Vessel Valuations'!$G$48^2+K206*'Vessel Valuations'!$H$48+'Vessel Valuations'!$I$48</f>
        <v>13.084918771504768</v>
      </c>
    </row>
    <row r="207" spans="3:12" x14ac:dyDescent="0.2">
      <c r="C207" s="17" t="s">
        <v>317</v>
      </c>
      <c r="D207" s="17" t="s">
        <v>15</v>
      </c>
      <c r="E207" s="57" t="s">
        <v>321</v>
      </c>
      <c r="F207" s="34">
        <v>0</v>
      </c>
      <c r="G207" s="34">
        <v>0</v>
      </c>
      <c r="H207" s="20">
        <v>47834</v>
      </c>
      <c r="I207" s="63">
        <v>2007</v>
      </c>
      <c r="J207" s="63">
        <v>2024</v>
      </c>
      <c r="K207" s="56">
        <f t="shared" si="32"/>
        <v>17</v>
      </c>
      <c r="L207" s="1">
        <f>+K207*'Vessel Valuations'!$F$48^3+K207*'Vessel Valuations'!$G$48^2+K207*'Vessel Valuations'!$H$48+'Vessel Valuations'!$I$48</f>
        <v>13.084918771504768</v>
      </c>
    </row>
    <row r="208" spans="3:12" x14ac:dyDescent="0.2">
      <c r="C208" s="17" t="s">
        <v>318</v>
      </c>
      <c r="D208" s="17" t="s">
        <v>15</v>
      </c>
      <c r="E208" s="57" t="s">
        <v>321</v>
      </c>
      <c r="F208" s="34">
        <v>0</v>
      </c>
      <c r="G208" s="34">
        <v>0</v>
      </c>
      <c r="H208" s="20">
        <v>47786</v>
      </c>
      <c r="I208" s="63">
        <v>2007</v>
      </c>
      <c r="J208" s="63">
        <v>2024</v>
      </c>
      <c r="K208" s="56">
        <f t="shared" si="32"/>
        <v>17</v>
      </c>
      <c r="L208" s="1">
        <f>+K208*'Vessel Valuations'!$F$48^3+K208*'Vessel Valuations'!$G$48^2+K208*'Vessel Valuations'!$H$48+'Vessel Valuations'!$I$48</f>
        <v>13.084918771504768</v>
      </c>
    </row>
    <row r="209" spans="3:12" x14ac:dyDescent="0.2">
      <c r="C209" s="17" t="s">
        <v>319</v>
      </c>
      <c r="D209" s="17" t="s">
        <v>15</v>
      </c>
      <c r="E209" s="57" t="s">
        <v>321</v>
      </c>
      <c r="F209" s="34">
        <v>0</v>
      </c>
      <c r="G209" s="34">
        <v>0</v>
      </c>
      <c r="H209" s="20">
        <v>47782</v>
      </c>
      <c r="I209" s="63">
        <v>2007</v>
      </c>
      <c r="J209" s="63">
        <v>2024</v>
      </c>
      <c r="K209" s="56">
        <f t="shared" si="32"/>
        <v>17</v>
      </c>
      <c r="L209" s="1">
        <f>+K209*'Vessel Valuations'!$F$48^3+K209*'Vessel Valuations'!$G$48^2+K209*'Vessel Valuations'!$H$48+'Vessel Valuations'!$I$48</f>
        <v>13.084918771504768</v>
      </c>
    </row>
    <row r="211" spans="3:12" x14ac:dyDescent="0.2">
      <c r="C211" s="49" t="s">
        <v>704</v>
      </c>
      <c r="D211" s="52" t="s">
        <v>761</v>
      </c>
      <c r="E211" s="52" t="s">
        <v>52</v>
      </c>
    </row>
    <row r="212" spans="3:12" x14ac:dyDescent="0.2">
      <c r="C212" s="17" t="s">
        <v>705</v>
      </c>
      <c r="D212" s="118">
        <f>+SUM(L138:L209)</f>
        <v>2701.7079766465372</v>
      </c>
      <c r="E212" s="1"/>
    </row>
    <row r="213" spans="3:12" x14ac:dyDescent="0.2">
      <c r="C213" s="17" t="s">
        <v>706</v>
      </c>
      <c r="D213" s="118">
        <f>+R129</f>
        <v>213.976</v>
      </c>
      <c r="E213" s="1"/>
    </row>
    <row r="214" spans="3:12" x14ac:dyDescent="0.2">
      <c r="C214" s="17" t="s">
        <v>707</v>
      </c>
      <c r="D214" s="118">
        <f>+R87</f>
        <v>0</v>
      </c>
      <c r="E214" s="1"/>
    </row>
    <row r="215" spans="3:12" x14ac:dyDescent="0.2">
      <c r="C215" s="17" t="s">
        <v>708</v>
      </c>
      <c r="D215" s="118">
        <f>+R131</f>
        <v>200.97200000000001</v>
      </c>
      <c r="E215" s="1"/>
    </row>
    <row r="216" spans="3:12" x14ac:dyDescent="0.2">
      <c r="C216" s="17" t="s">
        <v>709</v>
      </c>
      <c r="D216" s="118">
        <f>-R128</f>
        <v>-865.50699999999995</v>
      </c>
      <c r="E216" s="1"/>
    </row>
    <row r="217" spans="3:12" x14ac:dyDescent="0.2">
      <c r="C217" s="17" t="s">
        <v>710</v>
      </c>
      <c r="D217" s="118">
        <f>+SUM(G138:G209)*2</f>
        <v>30</v>
      </c>
      <c r="E217" s="1"/>
    </row>
    <row r="218" spans="3:12" x14ac:dyDescent="0.2">
      <c r="C218" s="17" t="s">
        <v>715</v>
      </c>
      <c r="D218" s="118">
        <v>0</v>
      </c>
      <c r="E218" s="1"/>
    </row>
    <row r="219" spans="3:12" x14ac:dyDescent="0.2">
      <c r="C219" s="17" t="s">
        <v>411</v>
      </c>
      <c r="D219" s="118">
        <v>0</v>
      </c>
      <c r="E219" s="1"/>
    </row>
    <row r="220" spans="3:12" x14ac:dyDescent="0.2">
      <c r="C220" s="119" t="s">
        <v>711</v>
      </c>
      <c r="D220" s="120">
        <f>+SUM(D212:D219)</f>
        <v>2281.1489766465374</v>
      </c>
      <c r="E220" s="120"/>
    </row>
    <row r="222" spans="3:12" x14ac:dyDescent="0.2">
      <c r="C222" s="17" t="s">
        <v>712</v>
      </c>
      <c r="D222" s="135">
        <f>+R126</f>
        <v>49.275022</v>
      </c>
    </row>
    <row r="224" spans="3:12" x14ac:dyDescent="0.2">
      <c r="C224" s="18" t="s">
        <v>713</v>
      </c>
      <c r="D224" s="140">
        <f>+D220/D222</f>
        <v>46.294225432239024</v>
      </c>
    </row>
    <row r="225" spans="3:30" x14ac:dyDescent="0.2">
      <c r="C225" s="17" t="s">
        <v>714</v>
      </c>
    </row>
    <row r="227" spans="3:30" x14ac:dyDescent="0.2">
      <c r="C227" s="17" t="e" vm="14">
        <v>#VALUE!</v>
      </c>
      <c r="D227" s="141" cm="1">
        <f t="array" ref="D227">_FV(C227,"Precio")</f>
        <v>52.319899999999997</v>
      </c>
    </row>
    <row r="228" spans="3:30" x14ac:dyDescent="0.2">
      <c r="C228" s="17" t="s">
        <v>716</v>
      </c>
      <c r="D228" s="118">
        <f>+D227*D222</f>
        <v>2578.0642235378</v>
      </c>
      <c r="U228" s="20">
        <v>6570</v>
      </c>
      <c r="V228" s="20">
        <v>6570</v>
      </c>
      <c r="W228" s="20">
        <v>6570</v>
      </c>
      <c r="X228" s="20">
        <v>6570</v>
      </c>
    </row>
    <row r="229" spans="3:30" x14ac:dyDescent="0.2">
      <c r="C229" s="18" t="s">
        <v>30</v>
      </c>
      <c r="D229" s="121">
        <f>+D228/D220</f>
        <v>1.1301603928243873</v>
      </c>
      <c r="U229" s="20">
        <f>+U228-U230</f>
        <v>500.40000000000055</v>
      </c>
      <c r="V229" s="20">
        <f>+V228-V230</f>
        <v>238.93150684931516</v>
      </c>
      <c r="W229" s="20">
        <f>+W228-W230</f>
        <v>292.19178082191775</v>
      </c>
      <c r="X229" s="20">
        <f>+X228-X230</f>
        <v>229.06849315068484</v>
      </c>
    </row>
    <row r="230" spans="3:30" x14ac:dyDescent="0.2">
      <c r="U230" s="20">
        <f>+COUNT(U236:U307)*U233*U232</f>
        <v>6069.5999999999995</v>
      </c>
      <c r="V230" s="20">
        <f>+COUNT(V236:V307)*V233*V232</f>
        <v>6331.0684931506848</v>
      </c>
      <c r="W230" s="20">
        <f>+COUNT(W236:W307)*W233*W232</f>
        <v>6277.8082191780823</v>
      </c>
      <c r="X230" s="20">
        <f>+COUNT(X236:X307)*X233*X232</f>
        <v>6340.9315068493152</v>
      </c>
    </row>
    <row r="231" spans="3:30" x14ac:dyDescent="0.2">
      <c r="C231" s="30" t="s">
        <v>752</v>
      </c>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row>
    <row r="232" spans="3:30" x14ac:dyDescent="0.2">
      <c r="C232" s="17" t="s">
        <v>753</v>
      </c>
      <c r="D232" s="20"/>
      <c r="T232" s="57" t="s">
        <v>754</v>
      </c>
      <c r="U232" s="128">
        <v>0.93666666666666665</v>
      </c>
      <c r="V232" s="128">
        <v>0.97701674277016748</v>
      </c>
      <c r="W232" s="128">
        <v>0.96879756468797562</v>
      </c>
      <c r="X232" s="128">
        <v>0.97853881278538812</v>
      </c>
      <c r="Y232" s="129"/>
      <c r="Z232" s="128">
        <v>0.95</v>
      </c>
      <c r="AA232" s="128">
        <v>0.95</v>
      </c>
      <c r="AB232" s="128">
        <v>0.95</v>
      </c>
      <c r="AC232" s="128">
        <v>0.95</v>
      </c>
      <c r="AD232" s="129"/>
    </row>
    <row r="233" spans="3:30" x14ac:dyDescent="0.2">
      <c r="C233" s="17" t="s">
        <v>755</v>
      </c>
      <c r="D233" s="20"/>
      <c r="T233" s="123" t="s">
        <v>755</v>
      </c>
      <c r="U233" s="40">
        <v>90</v>
      </c>
      <c r="V233" s="40">
        <v>90</v>
      </c>
      <c r="W233" s="40">
        <v>90</v>
      </c>
      <c r="X233" s="40">
        <v>90</v>
      </c>
      <c r="Y233" s="34"/>
      <c r="Z233" s="40">
        <v>90</v>
      </c>
      <c r="AA233" s="40">
        <v>90</v>
      </c>
      <c r="AB233" s="40">
        <v>90</v>
      </c>
      <c r="AC233" s="40">
        <v>90</v>
      </c>
      <c r="AD233" s="34"/>
    </row>
    <row r="235" spans="3:30" x14ac:dyDescent="0.2">
      <c r="C235" s="127" t="s">
        <v>756</v>
      </c>
      <c r="D235" s="143" t="s">
        <v>194</v>
      </c>
      <c r="E235" s="124"/>
      <c r="F235" s="124"/>
      <c r="G235" s="124"/>
      <c r="H235" s="124"/>
      <c r="I235" s="124"/>
      <c r="J235" s="124"/>
      <c r="K235" s="124"/>
      <c r="L235" s="124"/>
      <c r="M235" s="124"/>
      <c r="N235" s="124"/>
      <c r="O235" s="124"/>
      <c r="P235" s="124"/>
      <c r="Q235" s="124"/>
      <c r="R235" s="142" t="s">
        <v>198</v>
      </c>
      <c r="S235" s="142" t="s">
        <v>197</v>
      </c>
      <c r="T235" s="124"/>
      <c r="U235" s="124"/>
      <c r="V235" s="124"/>
      <c r="W235" s="124"/>
      <c r="X235" s="124"/>
      <c r="Y235" s="125"/>
      <c r="Z235" s="126"/>
      <c r="AA235" s="126"/>
      <c r="AB235" s="126"/>
      <c r="AC235" s="126"/>
    </row>
    <row r="236" spans="3:30" x14ac:dyDescent="0.2">
      <c r="C236" s="17" t="s">
        <v>324</v>
      </c>
      <c r="D236" s="62">
        <v>2010</v>
      </c>
      <c r="R236" s="34">
        <v>1</v>
      </c>
      <c r="S236" s="34">
        <v>0</v>
      </c>
      <c r="T236" s="17" t="s">
        <v>11</v>
      </c>
      <c r="U236" s="40">
        <v>42700</v>
      </c>
      <c r="V236" s="40">
        <f>+'FFA &amp; Spot Rates'!F$24+Premiums!$G$15</f>
        <v>52734.301369863009</v>
      </c>
      <c r="W236" s="40">
        <f>+'FFA &amp; Spot Rates'!G$24+Premiums!$G$15</f>
        <v>49935.301369863009</v>
      </c>
      <c r="X236" s="40">
        <f>+'FFA &amp; Spot Rates'!H$24+Premiums!$G$15</f>
        <v>75949.301369863009</v>
      </c>
      <c r="Z236" s="40">
        <f>+'FFA &amp; Spot Rates'!J$24+Premiums!$G$15</f>
        <v>85825.301369863009</v>
      </c>
      <c r="AA236" s="40">
        <f>+'FFA &amp; Spot Rates'!K$24+Premiums!$G$15</f>
        <v>78606.301369863009</v>
      </c>
      <c r="AB236" s="40">
        <f>+'FFA &amp; Spot Rates'!L$24+Premiums!$G$15</f>
        <v>74156.301369863009</v>
      </c>
      <c r="AC236" s="40">
        <f>+'FFA &amp; Spot Rates'!M$24+Premiums!$G$15</f>
        <v>109024.30136986301</v>
      </c>
    </row>
    <row r="237" spans="3:30" x14ac:dyDescent="0.2">
      <c r="C237" s="17" t="s">
        <v>325</v>
      </c>
      <c r="D237" s="63">
        <v>2016</v>
      </c>
      <c r="R237" s="34">
        <v>1</v>
      </c>
      <c r="S237" s="34">
        <v>0</v>
      </c>
      <c r="T237" s="17" t="s">
        <v>11</v>
      </c>
      <c r="U237" s="40">
        <v>42700</v>
      </c>
      <c r="V237" s="40">
        <f>+'FFA &amp; Spot Rates'!F$24+Premiums!$G$15</f>
        <v>52734.301369863009</v>
      </c>
      <c r="W237" s="40">
        <f>+'FFA &amp; Spot Rates'!G$24+Premiums!$G$15</f>
        <v>49935.301369863009</v>
      </c>
      <c r="X237" s="40">
        <f>+'FFA &amp; Spot Rates'!H$24+Premiums!$G$15</f>
        <v>75949.301369863009</v>
      </c>
      <c r="Z237" s="40">
        <f>+'FFA &amp; Spot Rates'!J$24+Premiums!$G$15</f>
        <v>85825.301369863009</v>
      </c>
      <c r="AA237" s="40">
        <f>+'FFA &amp; Spot Rates'!K$24+Premiums!$G$15</f>
        <v>78606.301369863009</v>
      </c>
      <c r="AB237" s="40">
        <f>+'FFA &amp; Spot Rates'!L$24+Premiums!$G$15</f>
        <v>74156.301369863009</v>
      </c>
      <c r="AC237" s="40">
        <f>+'FFA &amp; Spot Rates'!M$24+Premiums!$G$15</f>
        <v>109024.30136986301</v>
      </c>
    </row>
    <row r="238" spans="3:30" x14ac:dyDescent="0.2">
      <c r="C238" s="17" t="s">
        <v>326</v>
      </c>
      <c r="D238" s="63">
        <v>2016</v>
      </c>
      <c r="R238" s="34">
        <v>1</v>
      </c>
      <c r="S238" s="34">
        <v>0</v>
      </c>
      <c r="T238" s="17" t="s">
        <v>11</v>
      </c>
      <c r="U238" s="40">
        <v>42700</v>
      </c>
      <c r="V238" s="40">
        <f>+'FFA &amp; Spot Rates'!F$24+Premiums!$G$15</f>
        <v>52734.301369863009</v>
      </c>
      <c r="W238" s="40">
        <f>+'FFA &amp; Spot Rates'!G$24+Premiums!$G$15</f>
        <v>49935.301369863009</v>
      </c>
      <c r="X238" s="40">
        <f>+'FFA &amp; Spot Rates'!H$24+Premiums!$G$15</f>
        <v>75949.301369863009</v>
      </c>
      <c r="Z238" s="40">
        <f>+'FFA &amp; Spot Rates'!J$24+Premiums!$G$15</f>
        <v>85825.301369863009</v>
      </c>
      <c r="AA238" s="40">
        <f>+'FFA &amp; Spot Rates'!K$24+Premiums!$G$15</f>
        <v>78606.301369863009</v>
      </c>
      <c r="AB238" s="40">
        <f>+'FFA &amp; Spot Rates'!L$24+Premiums!$G$15</f>
        <v>74156.301369863009</v>
      </c>
      <c r="AC238" s="40">
        <f>+'FFA &amp; Spot Rates'!M$24+Premiums!$G$15</f>
        <v>109024.30136986301</v>
      </c>
    </row>
    <row r="239" spans="3:30" x14ac:dyDescent="0.2">
      <c r="C239" s="17" t="s">
        <v>327</v>
      </c>
      <c r="D239" s="63">
        <v>2016</v>
      </c>
      <c r="R239" s="34">
        <v>1</v>
      </c>
      <c r="S239" s="34">
        <v>0</v>
      </c>
      <c r="T239" s="17" t="s">
        <v>11</v>
      </c>
      <c r="U239" s="40">
        <v>42700</v>
      </c>
      <c r="V239" s="40">
        <f>+'FFA &amp; Spot Rates'!F$24+Premiums!$G$15</f>
        <v>52734.301369863009</v>
      </c>
      <c r="W239" s="40">
        <f>+'FFA &amp; Spot Rates'!G$24+Premiums!$G$15</f>
        <v>49935.301369863009</v>
      </c>
      <c r="X239" s="40">
        <f>+'FFA &amp; Spot Rates'!H$24+Premiums!$G$15</f>
        <v>75949.301369863009</v>
      </c>
      <c r="Z239" s="40">
        <f>+'FFA &amp; Spot Rates'!J$24+Premiums!$G$15</f>
        <v>85825.301369863009</v>
      </c>
      <c r="AA239" s="40">
        <f>+'FFA &amp; Spot Rates'!K$24+Premiums!$G$15</f>
        <v>78606.301369863009</v>
      </c>
      <c r="AB239" s="40">
        <f>+'FFA &amp; Spot Rates'!L$24+Premiums!$G$15</f>
        <v>74156.301369863009</v>
      </c>
      <c r="AC239" s="40">
        <f>+'FFA &amp; Spot Rates'!M$24+Premiums!$G$15</f>
        <v>109024.30136986301</v>
      </c>
    </row>
    <row r="240" spans="3:30" x14ac:dyDescent="0.2">
      <c r="C240" s="17" t="s">
        <v>328</v>
      </c>
      <c r="D240" s="63">
        <v>2016</v>
      </c>
      <c r="R240" s="34">
        <v>1</v>
      </c>
      <c r="S240" s="34">
        <v>0</v>
      </c>
      <c r="T240" s="17" t="s">
        <v>11</v>
      </c>
      <c r="U240" s="40">
        <v>42700</v>
      </c>
      <c r="V240" s="40">
        <f>+'FFA &amp; Spot Rates'!F$24+Premiums!$G$15</f>
        <v>52734.301369863009</v>
      </c>
      <c r="W240" s="40">
        <f>+'FFA &amp; Spot Rates'!G$24+Premiums!$G$15</f>
        <v>49935.301369863009</v>
      </c>
      <c r="X240" s="40">
        <f>+'FFA &amp; Spot Rates'!H$24+Premiums!$G$15</f>
        <v>75949.301369863009</v>
      </c>
      <c r="Z240" s="40">
        <f>+'FFA &amp; Spot Rates'!J$24+Premiums!$G$15</f>
        <v>85825.301369863009</v>
      </c>
      <c r="AA240" s="40">
        <f>+'FFA &amp; Spot Rates'!K$24+Premiums!$G$15</f>
        <v>78606.301369863009</v>
      </c>
      <c r="AB240" s="40">
        <f>+'FFA &amp; Spot Rates'!L$24+Premiums!$G$15</f>
        <v>74156.301369863009</v>
      </c>
      <c r="AC240" s="40">
        <f>+'FFA &amp; Spot Rates'!M$24+Premiums!$G$15</f>
        <v>109024.30136986301</v>
      </c>
    </row>
    <row r="241" spans="3:29" x14ac:dyDescent="0.2">
      <c r="C241" s="17" t="s">
        <v>329</v>
      </c>
      <c r="D241" s="63">
        <v>2016</v>
      </c>
      <c r="R241" s="34">
        <v>1</v>
      </c>
      <c r="S241" s="34">
        <v>1</v>
      </c>
      <c r="T241" s="17" t="s">
        <v>11</v>
      </c>
      <c r="U241" s="40">
        <v>42700</v>
      </c>
      <c r="V241" s="40">
        <f>+'FFA &amp; Spot Rates'!F$24+Premiums!$G$21</f>
        <v>56409.917808219179</v>
      </c>
      <c r="W241" s="40">
        <f>+'FFA &amp; Spot Rates'!G$24+Premiums!$G$21</f>
        <v>53610.917808219179</v>
      </c>
      <c r="X241" s="40">
        <f>+'FFA &amp; Spot Rates'!H$24+Premiums!$G$21</f>
        <v>79624.917808219179</v>
      </c>
      <c r="Z241" s="40">
        <f>+'FFA &amp; Spot Rates'!J$24+Premiums!$G$21</f>
        <v>89500.917808219179</v>
      </c>
      <c r="AA241" s="40">
        <f>+'FFA &amp; Spot Rates'!K$24+Premiums!$G$21</f>
        <v>82281.917808219179</v>
      </c>
      <c r="AB241" s="40">
        <f>+'FFA &amp; Spot Rates'!L$24+Premiums!$G$21</f>
        <v>77831.917808219179</v>
      </c>
      <c r="AC241" s="40">
        <f>+'FFA &amp; Spot Rates'!M$24+Premiums!$G$21</f>
        <v>112699.91780821918</v>
      </c>
    </row>
    <row r="242" spans="3:29" x14ac:dyDescent="0.2">
      <c r="C242" s="17" t="s">
        <v>330</v>
      </c>
      <c r="D242" s="63">
        <v>2015</v>
      </c>
      <c r="R242" s="34">
        <v>1</v>
      </c>
      <c r="S242" s="34">
        <v>1</v>
      </c>
      <c r="T242" s="17" t="s">
        <v>11</v>
      </c>
      <c r="U242" s="40">
        <v>42700</v>
      </c>
      <c r="V242" s="40">
        <f>+'FFA &amp; Spot Rates'!F$24+Premiums!$G$21</f>
        <v>56409.917808219179</v>
      </c>
      <c r="W242" s="40">
        <f>+'FFA &amp; Spot Rates'!G$24+Premiums!$G$21</f>
        <v>53610.917808219179</v>
      </c>
      <c r="X242" s="40">
        <f>+'FFA &amp; Spot Rates'!H$24+Premiums!$G$21</f>
        <v>79624.917808219179</v>
      </c>
      <c r="Z242" s="40">
        <f>+'FFA &amp; Spot Rates'!J$24+Premiums!$G$21</f>
        <v>89500.917808219179</v>
      </c>
      <c r="AA242" s="40">
        <f>+'FFA &amp; Spot Rates'!K$24+Premiums!$G$21</f>
        <v>82281.917808219179</v>
      </c>
      <c r="AB242" s="40">
        <f>+'FFA &amp; Spot Rates'!L$24+Premiums!$G$21</f>
        <v>77831.917808219179</v>
      </c>
      <c r="AC242" s="40">
        <f>+'FFA &amp; Spot Rates'!M$24+Premiums!$G$21</f>
        <v>112699.91780821918</v>
      </c>
    </row>
    <row r="243" spans="3:29" x14ac:dyDescent="0.2">
      <c r="C243" s="17" t="s">
        <v>331</v>
      </c>
      <c r="D243" s="63">
        <v>2023</v>
      </c>
      <c r="R243" s="34">
        <v>1</v>
      </c>
      <c r="S243" s="34">
        <v>1</v>
      </c>
      <c r="T243" s="17" t="s">
        <v>11</v>
      </c>
      <c r="U243" s="40">
        <v>31000</v>
      </c>
      <c r="V243" s="40">
        <v>31000</v>
      </c>
      <c r="W243" s="40">
        <v>31000</v>
      </c>
      <c r="X243" s="40">
        <v>31000</v>
      </c>
      <c r="Z243" s="40">
        <v>31000</v>
      </c>
      <c r="AA243" s="40">
        <v>31000</v>
      </c>
      <c r="AB243" s="40">
        <v>31000</v>
      </c>
      <c r="AC243" s="40">
        <v>31000</v>
      </c>
    </row>
    <row r="244" spans="3:29" x14ac:dyDescent="0.2">
      <c r="C244" s="17" t="s">
        <v>332</v>
      </c>
      <c r="D244" s="63">
        <v>2023</v>
      </c>
      <c r="R244" s="34">
        <v>1</v>
      </c>
      <c r="S244" s="34">
        <v>1</v>
      </c>
      <c r="T244" s="17" t="s">
        <v>11</v>
      </c>
      <c r="U244" s="40">
        <v>31000</v>
      </c>
      <c r="V244" s="40">
        <v>31000</v>
      </c>
      <c r="W244" s="40">
        <v>31000</v>
      </c>
      <c r="X244" s="40">
        <v>31000</v>
      </c>
      <c r="Z244" s="40">
        <v>31000</v>
      </c>
      <c r="AA244" s="40">
        <v>31000</v>
      </c>
      <c r="AB244" s="40">
        <v>31000</v>
      </c>
      <c r="AC244" s="40">
        <v>31000</v>
      </c>
    </row>
    <row r="245" spans="3:29" x14ac:dyDescent="0.2">
      <c r="C245" s="17" t="s">
        <v>333</v>
      </c>
      <c r="D245" s="63">
        <v>2023</v>
      </c>
      <c r="R245" s="34">
        <v>1</v>
      </c>
      <c r="S245" s="34">
        <v>1</v>
      </c>
      <c r="T245" s="17" t="s">
        <v>11</v>
      </c>
      <c r="U245" s="40">
        <v>31000</v>
      </c>
      <c r="V245" s="40">
        <v>31000</v>
      </c>
      <c r="W245" s="40">
        <v>31000</v>
      </c>
      <c r="X245" s="40">
        <v>31000</v>
      </c>
      <c r="Z245" s="40">
        <v>31000</v>
      </c>
      <c r="AA245" s="40">
        <v>31000</v>
      </c>
      <c r="AB245" s="40">
        <v>31000</v>
      </c>
      <c r="AC245" s="40">
        <v>31000</v>
      </c>
    </row>
    <row r="246" spans="3:29" x14ac:dyDescent="0.2">
      <c r="C246" s="17" t="s">
        <v>334</v>
      </c>
      <c r="D246" s="63">
        <v>2012</v>
      </c>
      <c r="R246" s="34">
        <v>1</v>
      </c>
      <c r="S246" s="34">
        <v>1</v>
      </c>
      <c r="T246" s="17" t="s">
        <v>11</v>
      </c>
      <c r="U246" s="40">
        <v>42700</v>
      </c>
      <c r="V246" s="40">
        <f>+'FFA &amp; Spot Rates'!F$24+Premiums!$G$21</f>
        <v>56409.917808219179</v>
      </c>
      <c r="W246" s="40">
        <f>+'FFA &amp; Spot Rates'!G$24+Premiums!$G$21</f>
        <v>53610.917808219179</v>
      </c>
      <c r="X246" s="40">
        <f>+'FFA &amp; Spot Rates'!H$24+Premiums!$G$21</f>
        <v>79624.917808219179</v>
      </c>
      <c r="Z246" s="40">
        <f>+'FFA &amp; Spot Rates'!J$24+Premiums!$G$21</f>
        <v>89500.917808219179</v>
      </c>
      <c r="AA246" s="40">
        <f>+'FFA &amp; Spot Rates'!K$24+Premiums!$G$21</f>
        <v>82281.917808219179</v>
      </c>
      <c r="AB246" s="40">
        <f>+'FFA &amp; Spot Rates'!L$24+Premiums!$G$21</f>
        <v>77831.917808219179</v>
      </c>
      <c r="AC246" s="40">
        <f>+'FFA &amp; Spot Rates'!M$24+Premiums!$G$21</f>
        <v>112699.91780821918</v>
      </c>
    </row>
    <row r="247" spans="3:29" x14ac:dyDescent="0.2">
      <c r="C247" s="17" t="s">
        <v>335</v>
      </c>
      <c r="D247" s="63">
        <v>2010</v>
      </c>
      <c r="R247" s="34">
        <v>1</v>
      </c>
      <c r="S247" s="34">
        <v>0</v>
      </c>
      <c r="T247" s="17" t="s">
        <v>11</v>
      </c>
      <c r="U247" s="40">
        <v>42700</v>
      </c>
      <c r="V247" s="40">
        <f>+'FFA &amp; Spot Rates'!F$24+Premiums!$G$15</f>
        <v>52734.301369863009</v>
      </c>
      <c r="W247" s="40">
        <f>+'FFA &amp; Spot Rates'!G$24+Premiums!$G$15</f>
        <v>49935.301369863009</v>
      </c>
      <c r="X247" s="40">
        <f>+'FFA &amp; Spot Rates'!H$24+Premiums!$G$15</f>
        <v>75949.301369863009</v>
      </c>
      <c r="Z247" s="40">
        <f>+'FFA &amp; Spot Rates'!J$24+Premiums!$G$15</f>
        <v>85825.301369863009</v>
      </c>
      <c r="AA247" s="40">
        <f>+'FFA &amp; Spot Rates'!K$24+Premiums!$G$15</f>
        <v>78606.301369863009</v>
      </c>
      <c r="AB247" s="40">
        <f>+'FFA &amp; Spot Rates'!L$24+Premiums!$G$15</f>
        <v>74156.301369863009</v>
      </c>
      <c r="AC247" s="40">
        <f>+'FFA &amp; Spot Rates'!M$24+Premiums!$G$15</f>
        <v>109024.30136986301</v>
      </c>
    </row>
    <row r="248" spans="3:29" x14ac:dyDescent="0.2">
      <c r="C248" s="17" t="s">
        <v>336</v>
      </c>
      <c r="D248" s="63">
        <v>2011</v>
      </c>
      <c r="R248" s="34">
        <v>1</v>
      </c>
      <c r="S248" s="34">
        <v>0</v>
      </c>
      <c r="T248" s="17" t="s">
        <v>11</v>
      </c>
      <c r="U248" s="40">
        <v>42700</v>
      </c>
      <c r="V248" s="40">
        <f>+'FFA &amp; Spot Rates'!F$24+Premiums!$G$15</f>
        <v>52734.301369863009</v>
      </c>
      <c r="W248" s="40">
        <f>+'FFA &amp; Spot Rates'!G$24+Premiums!$G$15</f>
        <v>49935.301369863009</v>
      </c>
      <c r="X248" s="40">
        <f>+'FFA &amp; Spot Rates'!H$24+Premiums!$G$15</f>
        <v>75949.301369863009</v>
      </c>
      <c r="Z248" s="40">
        <f>+'FFA &amp; Spot Rates'!J$24+Premiums!$G$15</f>
        <v>85825.301369863009</v>
      </c>
      <c r="AA248" s="40">
        <f>+'FFA &amp; Spot Rates'!K$24+Premiums!$G$15</f>
        <v>78606.301369863009</v>
      </c>
      <c r="AB248" s="40">
        <f>+'FFA &amp; Spot Rates'!L$24+Premiums!$G$15</f>
        <v>74156.301369863009</v>
      </c>
      <c r="AC248" s="40">
        <f>+'FFA &amp; Spot Rates'!M$24+Premiums!$G$15</f>
        <v>109024.30136986301</v>
      </c>
    </row>
    <row r="249" spans="3:29" x14ac:dyDescent="0.2">
      <c r="C249" s="17" t="s">
        <v>282</v>
      </c>
      <c r="D249" s="63">
        <v>2012</v>
      </c>
      <c r="R249" s="34">
        <v>1</v>
      </c>
      <c r="S249" s="34">
        <v>0</v>
      </c>
      <c r="T249" s="17" t="s">
        <v>13</v>
      </c>
      <c r="U249" s="40">
        <v>42800</v>
      </c>
      <c r="V249" s="40">
        <f>+'FFA &amp; Spot Rates'!F$27+Premiums!$G$16</f>
        <v>54567.082191780821</v>
      </c>
      <c r="W249" s="40">
        <f>+'FFA &amp; Spot Rates'!G$27+Premiums!$G$16</f>
        <v>51974.082191780821</v>
      </c>
      <c r="X249" s="40">
        <f>+'FFA &amp; Spot Rates'!H$27+Premiums!$G$16</f>
        <v>77394.082191780821</v>
      </c>
      <c r="Z249" s="40">
        <f>+'FFA &amp; Spot Rates'!J$27+Premiums!$G$16</f>
        <v>69068.082191780821</v>
      </c>
      <c r="AA249" s="40">
        <f>+'FFA &amp; Spot Rates'!K$27+Premiums!$G$16</f>
        <v>62426.082191780821</v>
      </c>
      <c r="AB249" s="40">
        <f>+'FFA &amp; Spot Rates'!L$27+Premiums!$G$16</f>
        <v>59426.082191780821</v>
      </c>
      <c r="AC249" s="40">
        <f>+'FFA &amp; Spot Rates'!M$27+Premiums!$G$16</f>
        <v>88176.082191780821</v>
      </c>
    </row>
    <row r="250" spans="3:29" x14ac:dyDescent="0.2">
      <c r="C250" s="17" t="s">
        <v>283</v>
      </c>
      <c r="D250" s="63">
        <v>2012</v>
      </c>
      <c r="R250" s="34">
        <v>0</v>
      </c>
      <c r="S250" s="34">
        <v>0</v>
      </c>
      <c r="T250" s="17" t="s">
        <v>13</v>
      </c>
      <c r="U250" s="40">
        <v>42800</v>
      </c>
      <c r="V250" s="40">
        <f>+'FFA &amp; Spot Rates'!F$27</f>
        <v>48305</v>
      </c>
      <c r="W250" s="40">
        <f>+'FFA &amp; Spot Rates'!G$27</f>
        <v>45712</v>
      </c>
      <c r="X250" s="40">
        <f>+'FFA &amp; Spot Rates'!H$27</f>
        <v>71132</v>
      </c>
      <c r="Z250" s="40">
        <f>+'FFA &amp; Spot Rates'!J$27</f>
        <v>62806</v>
      </c>
      <c r="AA250" s="40">
        <f>+'FFA &amp; Spot Rates'!K$27</f>
        <v>56164</v>
      </c>
      <c r="AB250" s="40">
        <f>+'FFA &amp; Spot Rates'!L$27</f>
        <v>53164</v>
      </c>
      <c r="AC250" s="40">
        <f>+'FFA &amp; Spot Rates'!M$27</f>
        <v>81914</v>
      </c>
    </row>
    <row r="251" spans="3:29" x14ac:dyDescent="0.2">
      <c r="C251" s="17" t="s">
        <v>284</v>
      </c>
      <c r="D251" s="63">
        <v>2012</v>
      </c>
      <c r="R251" s="34">
        <v>0</v>
      </c>
      <c r="S251" s="34">
        <v>0</v>
      </c>
      <c r="T251" s="17" t="s">
        <v>13</v>
      </c>
      <c r="U251" s="40">
        <v>42800</v>
      </c>
      <c r="V251" s="40">
        <f>+'FFA &amp; Spot Rates'!F$27</f>
        <v>48305</v>
      </c>
      <c r="W251" s="40">
        <f>+'FFA &amp; Spot Rates'!G$27</f>
        <v>45712</v>
      </c>
      <c r="X251" s="40">
        <f>+'FFA &amp; Spot Rates'!H$27</f>
        <v>71132</v>
      </c>
      <c r="Z251" s="40">
        <f>+'FFA &amp; Spot Rates'!J$27</f>
        <v>62806</v>
      </c>
      <c r="AA251" s="40">
        <f>+'FFA &amp; Spot Rates'!K$27</f>
        <v>56164</v>
      </c>
      <c r="AB251" s="40">
        <f>+'FFA &amp; Spot Rates'!L$27</f>
        <v>53164</v>
      </c>
      <c r="AC251" s="40">
        <f>+'FFA &amp; Spot Rates'!M$27</f>
        <v>81914</v>
      </c>
    </row>
    <row r="252" spans="3:29" x14ac:dyDescent="0.2">
      <c r="C252" s="17" t="s">
        <v>285</v>
      </c>
      <c r="D252" s="63">
        <v>2012</v>
      </c>
      <c r="R252" s="34">
        <v>0</v>
      </c>
      <c r="S252" s="34">
        <v>0</v>
      </c>
      <c r="T252" s="17" t="s">
        <v>13</v>
      </c>
      <c r="U252" s="40">
        <v>30650</v>
      </c>
      <c r="V252" s="40">
        <v>30650</v>
      </c>
      <c r="W252" s="40">
        <v>30650</v>
      </c>
      <c r="X252" s="40">
        <v>30650</v>
      </c>
      <c r="Z252" s="40">
        <f>+'FFA &amp; Spot Rates'!J$27</f>
        <v>62806</v>
      </c>
      <c r="AA252" s="40">
        <f>+'FFA &amp; Spot Rates'!K$27</f>
        <v>56164</v>
      </c>
      <c r="AB252" s="40">
        <f>+'FFA &amp; Spot Rates'!L$27</f>
        <v>53164</v>
      </c>
      <c r="AC252" s="40">
        <f>+'FFA &amp; Spot Rates'!M$27</f>
        <v>81914</v>
      </c>
    </row>
    <row r="253" spans="3:29" x14ac:dyDescent="0.2">
      <c r="C253" s="17" t="s">
        <v>337</v>
      </c>
      <c r="D253" s="63">
        <v>2016</v>
      </c>
      <c r="R253" s="34">
        <v>1</v>
      </c>
      <c r="S253" s="34">
        <v>0</v>
      </c>
      <c r="T253" s="17" t="s">
        <v>13</v>
      </c>
      <c r="U253" s="40">
        <v>32500</v>
      </c>
      <c r="V253" s="40">
        <v>32500</v>
      </c>
      <c r="W253" s="40">
        <f>+('FFA &amp; Spot Rates'!G$27+Premiums!$G$16)/3*2+32500/3</f>
        <v>45482.721461187219</v>
      </c>
      <c r="X253" s="40">
        <f>+'FFA &amp; Spot Rates'!H$27+Premiums!$G$16</f>
        <v>77394.082191780821</v>
      </c>
      <c r="Z253" s="40">
        <f>+'FFA &amp; Spot Rates'!J$27+Premiums!$G$16</f>
        <v>69068.082191780821</v>
      </c>
      <c r="AA253" s="40">
        <f>+'FFA &amp; Spot Rates'!K$27+Premiums!$G$16</f>
        <v>62426.082191780821</v>
      </c>
      <c r="AB253" s="40">
        <f>+'FFA &amp; Spot Rates'!L$27+Premiums!$G$16</f>
        <v>59426.082191780821</v>
      </c>
      <c r="AC253" s="40">
        <f>+'FFA &amp; Spot Rates'!M$27+Premiums!$G$16</f>
        <v>88176.082191780821</v>
      </c>
    </row>
    <row r="254" spans="3:29" x14ac:dyDescent="0.2">
      <c r="C254" s="17" t="s">
        <v>338</v>
      </c>
      <c r="D254" s="63">
        <v>2016</v>
      </c>
      <c r="R254" s="34">
        <v>1</v>
      </c>
      <c r="S254" s="34">
        <v>0</v>
      </c>
      <c r="T254" s="17" t="s">
        <v>13</v>
      </c>
      <c r="U254" s="40">
        <v>42800</v>
      </c>
      <c r="V254" s="40">
        <f>+'FFA &amp; Spot Rates'!F$27+Premiums!$G$16</f>
        <v>54567.082191780821</v>
      </c>
      <c r="W254" s="40">
        <f>+'FFA &amp; Spot Rates'!G$27+Premiums!$G$16</f>
        <v>51974.082191780821</v>
      </c>
      <c r="X254" s="40">
        <f>+'FFA &amp; Spot Rates'!H$27+Premiums!$G$16</f>
        <v>77394.082191780821</v>
      </c>
      <c r="Z254" s="40">
        <f>+'FFA &amp; Spot Rates'!J$27+Premiums!$G$16</f>
        <v>69068.082191780821</v>
      </c>
      <c r="AA254" s="40">
        <f>+'FFA &amp; Spot Rates'!K$27+Premiums!$G$16</f>
        <v>62426.082191780821</v>
      </c>
      <c r="AB254" s="40">
        <f>+'FFA &amp; Spot Rates'!L$27+Premiums!$G$16</f>
        <v>59426.082191780821</v>
      </c>
      <c r="AC254" s="40">
        <f>+'FFA &amp; Spot Rates'!M$27+Premiums!$G$16</f>
        <v>88176.082191780821</v>
      </c>
    </row>
    <row r="255" spans="3:29" x14ac:dyDescent="0.2">
      <c r="C255" s="17" t="s">
        <v>286</v>
      </c>
      <c r="D255" s="63">
        <v>2012</v>
      </c>
      <c r="R255" s="34">
        <v>0</v>
      </c>
      <c r="S255" s="34">
        <v>0</v>
      </c>
      <c r="T255" s="17" t="s">
        <v>13</v>
      </c>
      <c r="U255" s="40">
        <v>42800</v>
      </c>
      <c r="V255" s="40">
        <f>+'FFA &amp; Spot Rates'!F$27</f>
        <v>48305</v>
      </c>
      <c r="W255" s="40">
        <f>+'FFA &amp; Spot Rates'!G$27</f>
        <v>45712</v>
      </c>
      <c r="X255" s="40">
        <f>+'FFA &amp; Spot Rates'!H$27</f>
        <v>71132</v>
      </c>
      <c r="Z255" s="40">
        <f>+'FFA &amp; Spot Rates'!J$27</f>
        <v>62806</v>
      </c>
      <c r="AA255" s="40">
        <f>+'FFA &amp; Spot Rates'!K$27</f>
        <v>56164</v>
      </c>
      <c r="AB255" s="40">
        <f>+'FFA &amp; Spot Rates'!L$27</f>
        <v>53164</v>
      </c>
      <c r="AC255" s="40">
        <f>+'FFA &amp; Spot Rates'!M$27</f>
        <v>81914</v>
      </c>
    </row>
    <row r="256" spans="3:29" x14ac:dyDescent="0.2">
      <c r="C256" s="17" t="s">
        <v>287</v>
      </c>
      <c r="D256" s="63">
        <v>2012</v>
      </c>
      <c r="R256" s="34">
        <v>0</v>
      </c>
      <c r="S256" s="34">
        <v>0</v>
      </c>
      <c r="T256" s="17" t="s">
        <v>13</v>
      </c>
      <c r="U256" s="40">
        <v>42800</v>
      </c>
      <c r="V256" s="40">
        <f>+'FFA &amp; Spot Rates'!F$27</f>
        <v>48305</v>
      </c>
      <c r="W256" s="40">
        <f>+'FFA &amp; Spot Rates'!G$27</f>
        <v>45712</v>
      </c>
      <c r="X256" s="40">
        <f>+'FFA &amp; Spot Rates'!H$27</f>
        <v>71132</v>
      </c>
      <c r="Z256" s="40">
        <f>+'FFA &amp; Spot Rates'!J$27</f>
        <v>62806</v>
      </c>
      <c r="AA256" s="40">
        <f>+'FFA &amp; Spot Rates'!K$27</f>
        <v>56164</v>
      </c>
      <c r="AB256" s="40">
        <f>+'FFA &amp; Spot Rates'!L$27</f>
        <v>53164</v>
      </c>
      <c r="AC256" s="40">
        <f>+'FFA &amp; Spot Rates'!M$27</f>
        <v>81914</v>
      </c>
    </row>
    <row r="257" spans="3:29" x14ac:dyDescent="0.2">
      <c r="C257" s="17" t="s">
        <v>288</v>
      </c>
      <c r="D257" s="63">
        <v>2012</v>
      </c>
      <c r="R257" s="34">
        <v>0</v>
      </c>
      <c r="S257" s="34">
        <v>1</v>
      </c>
      <c r="T257" s="17" t="s">
        <v>13</v>
      </c>
      <c r="U257" s="40">
        <v>42800</v>
      </c>
      <c r="V257" s="40">
        <f>+'FFA &amp; Spot Rates'!F$27+Premiums!$G$19</f>
        <v>50555.082191780821</v>
      </c>
      <c r="W257" s="40">
        <f>+'FFA &amp; Spot Rates'!G$27+Premiums!$G$19</f>
        <v>47962.082191780821</v>
      </c>
      <c r="X257" s="40">
        <f>+'FFA &amp; Spot Rates'!H$27+Premiums!$G$19</f>
        <v>73382.082191780821</v>
      </c>
      <c r="Z257" s="40">
        <f>+'FFA &amp; Spot Rates'!J$27+Premiums!$G$19</f>
        <v>65056.082191780821</v>
      </c>
      <c r="AA257" s="40">
        <f>+'FFA &amp; Spot Rates'!K$27+Premiums!$G$19</f>
        <v>58414.082191780821</v>
      </c>
      <c r="AB257" s="40">
        <f>+'FFA &amp; Spot Rates'!L$27+Premiums!$G$19</f>
        <v>55414.082191780821</v>
      </c>
      <c r="AC257" s="40">
        <f>+'FFA &amp; Spot Rates'!M$27+Premiums!$G$19</f>
        <v>84164.082191780821</v>
      </c>
    </row>
    <row r="258" spans="3:29" x14ac:dyDescent="0.2">
      <c r="C258" s="17" t="s">
        <v>289</v>
      </c>
      <c r="D258" s="63">
        <v>2012</v>
      </c>
      <c r="R258" s="34">
        <v>0</v>
      </c>
      <c r="S258" s="34">
        <v>1</v>
      </c>
      <c r="T258" s="17" t="s">
        <v>13</v>
      </c>
      <c r="U258" s="40">
        <v>42800</v>
      </c>
      <c r="V258" s="40">
        <f>+'FFA &amp; Spot Rates'!F$27+Premiums!$G$19</f>
        <v>50555.082191780821</v>
      </c>
      <c r="W258" s="40">
        <f>+'FFA &amp; Spot Rates'!G$27+Premiums!$G$19</f>
        <v>47962.082191780821</v>
      </c>
      <c r="X258" s="40">
        <f>+'FFA &amp; Spot Rates'!H$27+Premiums!$G$19</f>
        <v>73382.082191780821</v>
      </c>
      <c r="Z258" s="40">
        <f>+'FFA &amp; Spot Rates'!J$27+Premiums!$G$19</f>
        <v>65056.082191780821</v>
      </c>
      <c r="AA258" s="40">
        <f>+'FFA &amp; Spot Rates'!K$27+Premiums!$G$19</f>
        <v>58414.082191780821</v>
      </c>
      <c r="AB258" s="40">
        <f>+'FFA &amp; Spot Rates'!L$27+Premiums!$G$19</f>
        <v>55414.082191780821</v>
      </c>
      <c r="AC258" s="40">
        <f>+'FFA &amp; Spot Rates'!M$27+Premiums!$G$19</f>
        <v>84164.082191780821</v>
      </c>
    </row>
    <row r="259" spans="3:29" x14ac:dyDescent="0.2">
      <c r="C259" s="17" t="s">
        <v>339</v>
      </c>
      <c r="D259" s="63">
        <v>2017</v>
      </c>
      <c r="R259" s="34">
        <v>1</v>
      </c>
      <c r="S259" s="34">
        <v>0</v>
      </c>
      <c r="T259" s="17" t="s">
        <v>13</v>
      </c>
      <c r="U259" s="40">
        <v>42800</v>
      </c>
      <c r="V259" s="40">
        <f>+'FFA &amp; Spot Rates'!F$27+Premiums!$G$16</f>
        <v>54567.082191780821</v>
      </c>
      <c r="W259" s="40">
        <f>+'FFA &amp; Spot Rates'!G$27+Premiums!$G$16</f>
        <v>51974.082191780821</v>
      </c>
      <c r="X259" s="40">
        <f>+'FFA &amp; Spot Rates'!H$27+Premiums!$G$16</f>
        <v>77394.082191780821</v>
      </c>
      <c r="Z259" s="40">
        <f>+'FFA &amp; Spot Rates'!J$27+Premiums!$G$16</f>
        <v>69068.082191780821</v>
      </c>
      <c r="AA259" s="40">
        <f>+'FFA &amp; Spot Rates'!K$27+Premiums!$G$16</f>
        <v>62426.082191780821</v>
      </c>
      <c r="AB259" s="40">
        <f>+'FFA &amp; Spot Rates'!L$27+Premiums!$G$16</f>
        <v>59426.082191780821</v>
      </c>
      <c r="AC259" s="40">
        <f>+'FFA &amp; Spot Rates'!M$27+Premiums!$G$16</f>
        <v>88176.082191780821</v>
      </c>
    </row>
    <row r="260" spans="3:29" x14ac:dyDescent="0.2">
      <c r="C260" s="17" t="s">
        <v>340</v>
      </c>
      <c r="D260" s="63">
        <v>2017</v>
      </c>
      <c r="R260" s="34">
        <v>1</v>
      </c>
      <c r="S260" s="34">
        <v>0</v>
      </c>
      <c r="T260" s="17" t="s">
        <v>13</v>
      </c>
      <c r="U260" s="40">
        <v>42800</v>
      </c>
      <c r="V260" s="40">
        <f>+'FFA &amp; Spot Rates'!F$27+Premiums!$G$16</f>
        <v>54567.082191780821</v>
      </c>
      <c r="W260" s="40">
        <f>+'FFA &amp; Spot Rates'!G$27+Premiums!$G$16</f>
        <v>51974.082191780821</v>
      </c>
      <c r="X260" s="40">
        <f>+'FFA &amp; Spot Rates'!H$27+Premiums!$G$16</f>
        <v>77394.082191780821</v>
      </c>
      <c r="Z260" s="40">
        <f>+'FFA &amp; Spot Rates'!J$27+Premiums!$G$16</f>
        <v>69068.082191780821</v>
      </c>
      <c r="AA260" s="40">
        <f>+'FFA &amp; Spot Rates'!K$27+Premiums!$G$16</f>
        <v>62426.082191780821</v>
      </c>
      <c r="AB260" s="40">
        <f>+'FFA &amp; Spot Rates'!L$27+Premiums!$G$16</f>
        <v>59426.082191780821</v>
      </c>
      <c r="AC260" s="40">
        <f>+'FFA &amp; Spot Rates'!M$27+Premiums!$G$16</f>
        <v>88176.082191780821</v>
      </c>
    </row>
    <row r="261" spans="3:29" x14ac:dyDescent="0.2">
      <c r="C261" s="17" t="s">
        <v>341</v>
      </c>
      <c r="D261" s="63">
        <v>2016</v>
      </c>
      <c r="R261" s="34">
        <v>1</v>
      </c>
      <c r="S261" s="34">
        <v>0</v>
      </c>
      <c r="T261" s="17" t="s">
        <v>13</v>
      </c>
      <c r="U261" s="40">
        <v>42800</v>
      </c>
      <c r="V261" s="40">
        <f>+'FFA &amp; Spot Rates'!F$27+Premiums!$G$16</f>
        <v>54567.082191780821</v>
      </c>
      <c r="W261" s="40">
        <f>+'FFA &amp; Spot Rates'!G$27+Premiums!$G$16</f>
        <v>51974.082191780821</v>
      </c>
      <c r="X261" s="40">
        <f>+'FFA &amp; Spot Rates'!H$27+Premiums!$G$16</f>
        <v>77394.082191780821</v>
      </c>
      <c r="Z261" s="40">
        <f>+'FFA &amp; Spot Rates'!J$27+Premiums!$G$16</f>
        <v>69068.082191780821</v>
      </c>
      <c r="AA261" s="40">
        <f>+'FFA &amp; Spot Rates'!K$27+Premiums!$G$16</f>
        <v>62426.082191780821</v>
      </c>
      <c r="AB261" s="40">
        <f>+'FFA &amp; Spot Rates'!L$27+Premiums!$G$16</f>
        <v>59426.082191780821</v>
      </c>
      <c r="AC261" s="40">
        <f>+'FFA &amp; Spot Rates'!M$27+Premiums!$G$16</f>
        <v>88176.082191780821</v>
      </c>
    </row>
    <row r="262" spans="3:29" x14ac:dyDescent="0.2">
      <c r="C262" s="17" t="s">
        <v>342</v>
      </c>
      <c r="D262" s="63">
        <v>2017</v>
      </c>
      <c r="R262" s="34">
        <v>1</v>
      </c>
      <c r="S262" s="34">
        <v>0</v>
      </c>
      <c r="T262" s="17" t="s">
        <v>12</v>
      </c>
      <c r="U262" s="40">
        <v>47800</v>
      </c>
      <c r="V262" s="40">
        <f>+'FFA &amp; Spot Rates'!F$30</f>
        <v>47590</v>
      </c>
      <c r="W262" s="40">
        <f>+'FFA &amp; Spot Rates'!G$30</f>
        <v>43894</v>
      </c>
      <c r="X262" s="40">
        <f>+'FFA &amp; Spot Rates'!H$30</f>
        <v>66439</v>
      </c>
      <c r="Z262" s="40">
        <f>+'FFA &amp; Spot Rates'!J$30</f>
        <v>53183</v>
      </c>
      <c r="AA262" s="40">
        <f>+'FFA &amp; Spot Rates'!K$30</f>
        <v>48207</v>
      </c>
      <c r="AB262" s="40">
        <f>+'FFA &amp; Spot Rates'!L$30</f>
        <v>45134</v>
      </c>
      <c r="AC262" s="40">
        <f>+'FFA &amp; Spot Rates'!M$30</f>
        <v>68975</v>
      </c>
    </row>
    <row r="263" spans="3:29" x14ac:dyDescent="0.2">
      <c r="C263" s="17" t="s">
        <v>290</v>
      </c>
      <c r="D263" s="63">
        <v>2009</v>
      </c>
      <c r="R263" s="34">
        <v>0</v>
      </c>
      <c r="S263" s="34">
        <v>1</v>
      </c>
      <c r="T263" s="17" t="s">
        <v>12</v>
      </c>
      <c r="U263" s="40">
        <v>47800</v>
      </c>
      <c r="V263" s="40">
        <f>+'FFA &amp; Spot Rates'!F$30</f>
        <v>47590</v>
      </c>
      <c r="W263" s="40">
        <f>+'FFA &amp; Spot Rates'!G$30</f>
        <v>43894</v>
      </c>
      <c r="X263" s="40">
        <f>+'FFA &amp; Spot Rates'!H$30</f>
        <v>66439</v>
      </c>
      <c r="Z263" s="40">
        <f>+'FFA &amp; Spot Rates'!J$30</f>
        <v>53183</v>
      </c>
      <c r="AA263" s="40">
        <f>+'FFA &amp; Spot Rates'!K$30</f>
        <v>48207</v>
      </c>
      <c r="AB263" s="40">
        <f>+'FFA &amp; Spot Rates'!L$30</f>
        <v>45134</v>
      </c>
      <c r="AC263" s="40">
        <f>+'FFA &amp; Spot Rates'!M$30</f>
        <v>68975</v>
      </c>
    </row>
    <row r="264" spans="3:29" x14ac:dyDescent="0.2">
      <c r="C264" s="17" t="s">
        <v>291</v>
      </c>
      <c r="D264" s="63">
        <v>2009</v>
      </c>
      <c r="R264" s="34">
        <v>0</v>
      </c>
      <c r="S264" s="34">
        <v>1</v>
      </c>
      <c r="T264" s="17" t="s">
        <v>12</v>
      </c>
      <c r="U264" s="40">
        <v>47800</v>
      </c>
      <c r="V264" s="40">
        <f>+'FFA &amp; Spot Rates'!F$30</f>
        <v>47590</v>
      </c>
      <c r="W264" s="40">
        <f>+'FFA &amp; Spot Rates'!G$30</f>
        <v>43894</v>
      </c>
      <c r="X264" s="40">
        <f>+'FFA &amp; Spot Rates'!H$30</f>
        <v>66439</v>
      </c>
      <c r="Z264" s="40">
        <f>+'FFA &amp; Spot Rates'!J$30</f>
        <v>53183</v>
      </c>
      <c r="AA264" s="40">
        <f>+'FFA &amp; Spot Rates'!K$30</f>
        <v>48207</v>
      </c>
      <c r="AB264" s="40">
        <f>+'FFA &amp; Spot Rates'!L$30</f>
        <v>45134</v>
      </c>
      <c r="AC264" s="40">
        <f>+'FFA &amp; Spot Rates'!M$30</f>
        <v>68975</v>
      </c>
    </row>
    <row r="265" spans="3:29" x14ac:dyDescent="0.2">
      <c r="C265" s="17" t="s">
        <v>292</v>
      </c>
      <c r="D265" s="144">
        <v>2013</v>
      </c>
      <c r="R265" s="34">
        <v>0</v>
      </c>
      <c r="S265" s="34">
        <v>1</v>
      </c>
      <c r="T265" s="17" t="s">
        <v>12</v>
      </c>
      <c r="U265" s="40">
        <v>40000</v>
      </c>
      <c r="V265" s="40">
        <v>40000</v>
      </c>
      <c r="W265" s="40">
        <v>40000</v>
      </c>
      <c r="X265" s="40">
        <v>40000</v>
      </c>
      <c r="Z265" s="40">
        <v>40000</v>
      </c>
      <c r="AA265" s="40">
        <v>40000</v>
      </c>
      <c r="AB265" s="40">
        <f>+'FFA &amp; Spot Rates'!L$30</f>
        <v>45134</v>
      </c>
      <c r="AC265" s="40">
        <f>+'FFA &amp; Spot Rates'!M$30</f>
        <v>68975</v>
      </c>
    </row>
    <row r="266" spans="3:29" x14ac:dyDescent="0.2">
      <c r="C266" s="17" t="s">
        <v>293</v>
      </c>
      <c r="D266" s="63">
        <v>2014</v>
      </c>
      <c r="R266" s="34">
        <v>0</v>
      </c>
      <c r="S266" s="34">
        <v>1</v>
      </c>
      <c r="T266" s="17" t="s">
        <v>17</v>
      </c>
      <c r="U266" s="40">
        <v>47800</v>
      </c>
      <c r="V266" s="40">
        <f>+'FFA &amp; Spot Rates'!F$33</f>
        <v>45784</v>
      </c>
      <c r="W266" s="40">
        <f>+'FFA &amp; Spot Rates'!G$33</f>
        <v>42439</v>
      </c>
      <c r="X266" s="40">
        <f>+'FFA &amp; Spot Rates'!H$33</f>
        <v>62846</v>
      </c>
      <c r="Z266" s="40">
        <f>+'FFA &amp; Spot Rates'!J$33</f>
        <v>53183</v>
      </c>
      <c r="AA266" s="40">
        <f>+'FFA &amp; Spot Rates'!K$33</f>
        <v>48207</v>
      </c>
      <c r="AB266" s="40">
        <f>+'FFA &amp; Spot Rates'!L$33</f>
        <v>45134</v>
      </c>
      <c r="AC266" s="40">
        <f>+'FFA &amp; Spot Rates'!M$33</f>
        <v>68975</v>
      </c>
    </row>
    <row r="267" spans="3:29" x14ac:dyDescent="0.2">
      <c r="C267" s="17" t="s">
        <v>343</v>
      </c>
      <c r="D267" s="63">
        <v>2008</v>
      </c>
      <c r="R267" s="34">
        <v>0</v>
      </c>
      <c r="S267" s="34">
        <v>0</v>
      </c>
      <c r="T267" s="17" t="s">
        <v>14</v>
      </c>
      <c r="U267" s="40">
        <v>62600</v>
      </c>
      <c r="V267" s="40">
        <f>+'FFA &amp; Spot Rates'!F$36</f>
        <v>36457</v>
      </c>
      <c r="W267" s="40">
        <f>+'FFA &amp; Spot Rates'!G$36</f>
        <v>33884</v>
      </c>
      <c r="X267" s="40">
        <f>+'FFA &amp; Spot Rates'!H$36</f>
        <v>49578</v>
      </c>
      <c r="Z267" s="40">
        <f>+'FFA &amp; Spot Rates'!J$36</f>
        <v>35526.700000000004</v>
      </c>
      <c r="AA267" s="40">
        <f>+'FFA &amp; Spot Rates'!K$36</f>
        <v>31704.200000000004</v>
      </c>
      <c r="AB267" s="40">
        <f>+'FFA &amp; Spot Rates'!L$36</f>
        <v>29115.9</v>
      </c>
      <c r="AC267" s="40">
        <f>+'FFA &amp; Spot Rates'!M$36</f>
        <v>41026.700000000004</v>
      </c>
    </row>
    <row r="268" spans="3:29" x14ac:dyDescent="0.2">
      <c r="C268" s="17" t="s">
        <v>294</v>
      </c>
      <c r="D268" s="63">
        <v>2009</v>
      </c>
      <c r="R268" s="34">
        <v>0</v>
      </c>
      <c r="S268" s="34">
        <v>0</v>
      </c>
      <c r="T268" s="17" t="s">
        <v>14</v>
      </c>
      <c r="U268" s="40">
        <v>62600</v>
      </c>
      <c r="V268" s="40">
        <f>+'FFA &amp; Spot Rates'!F$36</f>
        <v>36457</v>
      </c>
      <c r="W268" s="40">
        <f>+'FFA &amp; Spot Rates'!G$36</f>
        <v>33884</v>
      </c>
      <c r="X268" s="40">
        <f>+'FFA &amp; Spot Rates'!H$36</f>
        <v>49578</v>
      </c>
      <c r="Z268" s="40">
        <f>+'FFA &amp; Spot Rates'!J$36</f>
        <v>35526.700000000004</v>
      </c>
      <c r="AA268" s="40">
        <f>+'FFA &amp; Spot Rates'!K$36</f>
        <v>31704.200000000004</v>
      </c>
      <c r="AB268" s="40">
        <f>+'FFA &amp; Spot Rates'!L$36</f>
        <v>29115.9</v>
      </c>
      <c r="AC268" s="40">
        <f>+'FFA &amp; Spot Rates'!M$36</f>
        <v>41026.700000000004</v>
      </c>
    </row>
    <row r="269" spans="3:29" x14ac:dyDescent="0.2">
      <c r="C269" s="17" t="s">
        <v>295</v>
      </c>
      <c r="D269" s="63">
        <v>2011</v>
      </c>
      <c r="R269" s="34">
        <v>0</v>
      </c>
      <c r="S269" s="34">
        <v>0</v>
      </c>
      <c r="T269" s="17" t="s">
        <v>14</v>
      </c>
      <c r="U269" s="40">
        <v>62600</v>
      </c>
      <c r="V269" s="40">
        <f>+'FFA &amp; Spot Rates'!F$36</f>
        <v>36457</v>
      </c>
      <c r="W269" s="40">
        <f>+'FFA &amp; Spot Rates'!G$36</f>
        <v>33884</v>
      </c>
      <c r="X269" s="40">
        <f>+'FFA &amp; Spot Rates'!H$36</f>
        <v>49578</v>
      </c>
      <c r="Z269" s="40">
        <f>+'FFA &amp; Spot Rates'!J$36</f>
        <v>35526.700000000004</v>
      </c>
      <c r="AA269" s="40">
        <f>+'FFA &amp; Spot Rates'!K$36</f>
        <v>31704.200000000004</v>
      </c>
      <c r="AB269" s="40">
        <f>+'FFA &amp; Spot Rates'!L$36</f>
        <v>29115.9</v>
      </c>
      <c r="AC269" s="40">
        <f>+'FFA &amp; Spot Rates'!M$36</f>
        <v>41026.700000000004</v>
      </c>
    </row>
    <row r="270" spans="3:29" x14ac:dyDescent="0.2">
      <c r="C270" s="17" t="s">
        <v>296</v>
      </c>
      <c r="D270" s="63">
        <v>2006</v>
      </c>
      <c r="R270" s="34">
        <v>0</v>
      </c>
      <c r="S270" s="34">
        <v>0</v>
      </c>
      <c r="T270" s="17" t="s">
        <v>14</v>
      </c>
      <c r="U270" s="40">
        <v>62600</v>
      </c>
      <c r="V270" s="40">
        <f>+'FFA &amp; Spot Rates'!F$36</f>
        <v>36457</v>
      </c>
      <c r="W270" s="40">
        <f>+'FFA &amp; Spot Rates'!G$36</f>
        <v>33884</v>
      </c>
      <c r="X270" s="40">
        <f>+'FFA &amp; Spot Rates'!H$36</f>
        <v>49578</v>
      </c>
      <c r="Z270" s="40">
        <f>+'FFA &amp; Spot Rates'!J$36</f>
        <v>35526.700000000004</v>
      </c>
      <c r="AA270" s="40">
        <f>+'FFA &amp; Spot Rates'!K$36</f>
        <v>31704.200000000004</v>
      </c>
      <c r="AB270" s="40">
        <f>+'FFA &amp; Spot Rates'!L$36</f>
        <v>29115.9</v>
      </c>
      <c r="AC270" s="40">
        <f>+'FFA &amp; Spot Rates'!M$36</f>
        <v>41026.700000000004</v>
      </c>
    </row>
    <row r="271" spans="3:29" x14ac:dyDescent="0.2">
      <c r="C271" s="17" t="s">
        <v>297</v>
      </c>
      <c r="D271" s="63">
        <v>2006</v>
      </c>
      <c r="R271" s="34">
        <v>0</v>
      </c>
      <c r="S271" s="34">
        <v>0</v>
      </c>
      <c r="T271" s="17" t="s">
        <v>14</v>
      </c>
      <c r="U271" s="40">
        <v>62600</v>
      </c>
      <c r="V271" s="40">
        <f>+'FFA &amp; Spot Rates'!F$36</f>
        <v>36457</v>
      </c>
      <c r="W271" s="40">
        <f>+'FFA &amp; Spot Rates'!G$36</f>
        <v>33884</v>
      </c>
      <c r="X271" s="40">
        <f>+'FFA &amp; Spot Rates'!H$36</f>
        <v>49578</v>
      </c>
      <c r="Z271" s="40">
        <f>+'FFA &amp; Spot Rates'!J$36</f>
        <v>35526.700000000004</v>
      </c>
      <c r="AA271" s="40">
        <f>+'FFA &amp; Spot Rates'!K$36</f>
        <v>31704.200000000004</v>
      </c>
      <c r="AB271" s="40">
        <f>+'FFA &amp; Spot Rates'!L$36</f>
        <v>29115.9</v>
      </c>
      <c r="AC271" s="40">
        <f>+'FFA &amp; Spot Rates'!M$36</f>
        <v>41026.700000000004</v>
      </c>
    </row>
    <row r="272" spans="3:29" x14ac:dyDescent="0.2">
      <c r="C272" s="17" t="s">
        <v>298</v>
      </c>
      <c r="D272" s="63">
        <v>2011</v>
      </c>
      <c r="R272" s="34">
        <v>0</v>
      </c>
      <c r="S272" s="34">
        <v>0</v>
      </c>
      <c r="T272" s="17" t="s">
        <v>14</v>
      </c>
      <c r="U272" s="40">
        <v>62600</v>
      </c>
      <c r="V272" s="40">
        <f>+'FFA &amp; Spot Rates'!F$36</f>
        <v>36457</v>
      </c>
      <c r="W272" s="40">
        <f>+'FFA &amp; Spot Rates'!G$36</f>
        <v>33884</v>
      </c>
      <c r="X272" s="40">
        <f>+'FFA &amp; Spot Rates'!H$36</f>
        <v>49578</v>
      </c>
      <c r="Z272" s="40">
        <f>+'FFA &amp; Spot Rates'!J$36</f>
        <v>35526.700000000004</v>
      </c>
      <c r="AA272" s="40">
        <f>+'FFA &amp; Spot Rates'!K$36</f>
        <v>31704.200000000004</v>
      </c>
      <c r="AB272" s="40">
        <f>+'FFA &amp; Spot Rates'!L$36</f>
        <v>29115.9</v>
      </c>
      <c r="AC272" s="40">
        <f>+'FFA &amp; Spot Rates'!M$36</f>
        <v>41026.700000000004</v>
      </c>
    </row>
    <row r="273" spans="3:29" x14ac:dyDescent="0.2">
      <c r="C273" s="17" t="s">
        <v>299</v>
      </c>
      <c r="D273" s="63">
        <v>2011</v>
      </c>
      <c r="R273" s="34">
        <v>0</v>
      </c>
      <c r="S273" s="34">
        <v>0</v>
      </c>
      <c r="T273" s="17" t="s">
        <v>14</v>
      </c>
      <c r="U273" s="40">
        <v>62600</v>
      </c>
      <c r="V273" s="40">
        <f>+'FFA &amp; Spot Rates'!F$36</f>
        <v>36457</v>
      </c>
      <c r="W273" s="40">
        <f>+'FFA &amp; Spot Rates'!G$36</f>
        <v>33884</v>
      </c>
      <c r="X273" s="40">
        <f>+'FFA &amp; Spot Rates'!H$36</f>
        <v>49578</v>
      </c>
      <c r="Z273" s="40">
        <f>+'FFA &amp; Spot Rates'!J$36</f>
        <v>35526.700000000004</v>
      </c>
      <c r="AA273" s="40">
        <f>+'FFA &amp; Spot Rates'!K$36</f>
        <v>31704.200000000004</v>
      </c>
      <c r="AB273" s="40">
        <f>+'FFA &amp; Spot Rates'!L$36</f>
        <v>29115.9</v>
      </c>
      <c r="AC273" s="40">
        <f>+'FFA &amp; Spot Rates'!M$36</f>
        <v>41026.700000000004</v>
      </c>
    </row>
    <row r="274" spans="3:29" x14ac:dyDescent="0.2">
      <c r="C274" s="17" t="s">
        <v>300</v>
      </c>
      <c r="D274" s="63">
        <v>2009</v>
      </c>
      <c r="R274" s="34">
        <v>0</v>
      </c>
      <c r="S274" s="34">
        <v>0</v>
      </c>
      <c r="T274" s="17" t="s">
        <v>15</v>
      </c>
      <c r="U274" s="40">
        <v>34100</v>
      </c>
      <c r="V274" s="40">
        <f>+'FFA &amp; Spot Rates'!F$39</f>
        <v>29364</v>
      </c>
      <c r="W274" s="40">
        <f>+'FFA &amp; Spot Rates'!G$39</f>
        <v>26558</v>
      </c>
      <c r="X274" s="40">
        <f>+'FFA &amp; Spot Rates'!H$39</f>
        <v>37740</v>
      </c>
      <c r="Z274" s="40">
        <f>+'FFA &amp; Spot Rates'!J$39</f>
        <v>32297</v>
      </c>
      <c r="AA274" s="40">
        <f>+'FFA &amp; Spot Rates'!K$39</f>
        <v>28822</v>
      </c>
      <c r="AB274" s="40">
        <f>+'FFA &amp; Spot Rates'!L$39</f>
        <v>26469</v>
      </c>
      <c r="AC274" s="40">
        <f>+'FFA &amp; Spot Rates'!M$39</f>
        <v>37297</v>
      </c>
    </row>
    <row r="275" spans="3:29" x14ac:dyDescent="0.2">
      <c r="C275" s="17" t="s">
        <v>301</v>
      </c>
      <c r="D275" s="63">
        <v>2009</v>
      </c>
      <c r="R275" s="34">
        <v>0</v>
      </c>
      <c r="S275" s="34">
        <v>0</v>
      </c>
      <c r="T275" s="17" t="s">
        <v>15</v>
      </c>
      <c r="U275" s="40">
        <v>34100</v>
      </c>
      <c r="V275" s="40">
        <f>+'FFA &amp; Spot Rates'!F$39</f>
        <v>29364</v>
      </c>
      <c r="W275" s="40">
        <f>+'FFA &amp; Spot Rates'!G$39</f>
        <v>26558</v>
      </c>
      <c r="X275" s="40">
        <f>+'FFA &amp; Spot Rates'!H$39</f>
        <v>37740</v>
      </c>
      <c r="Z275" s="40">
        <f>+'FFA &amp; Spot Rates'!J$39</f>
        <v>32297</v>
      </c>
      <c r="AA275" s="40">
        <f>+'FFA &amp; Spot Rates'!K$39</f>
        <v>28822</v>
      </c>
      <c r="AB275" s="40">
        <f>+'FFA &amp; Spot Rates'!L$39</f>
        <v>26469</v>
      </c>
      <c r="AC275" s="40">
        <f>+'FFA &amp; Spot Rates'!M$39</f>
        <v>37297</v>
      </c>
    </row>
    <row r="276" spans="3:29" x14ac:dyDescent="0.2">
      <c r="C276" s="17" t="s">
        <v>302</v>
      </c>
      <c r="D276" s="63">
        <v>2009</v>
      </c>
      <c r="R276" s="34">
        <v>0</v>
      </c>
      <c r="S276" s="34">
        <v>0</v>
      </c>
      <c r="T276" s="17" t="s">
        <v>15</v>
      </c>
      <c r="U276" s="40">
        <v>34100</v>
      </c>
      <c r="V276" s="40">
        <f>+'FFA &amp; Spot Rates'!F$39</f>
        <v>29364</v>
      </c>
      <c r="W276" s="40">
        <f>+'FFA &amp; Spot Rates'!G$39</f>
        <v>26558</v>
      </c>
      <c r="X276" s="40">
        <f>+'FFA &amp; Spot Rates'!H$39</f>
        <v>37740</v>
      </c>
      <c r="Z276" s="40">
        <f>+'FFA &amp; Spot Rates'!J$39</f>
        <v>32297</v>
      </c>
      <c r="AA276" s="40">
        <f>+'FFA &amp; Spot Rates'!K$39</f>
        <v>28822</v>
      </c>
      <c r="AB276" s="40">
        <f>+'FFA &amp; Spot Rates'!L$39</f>
        <v>26469</v>
      </c>
      <c r="AC276" s="40">
        <f>+'FFA &amp; Spot Rates'!M$39</f>
        <v>37297</v>
      </c>
    </row>
    <row r="277" spans="3:29" x14ac:dyDescent="0.2">
      <c r="C277" s="17" t="s">
        <v>303</v>
      </c>
      <c r="D277" s="63">
        <v>2010</v>
      </c>
      <c r="R277" s="34">
        <v>0</v>
      </c>
      <c r="S277" s="34">
        <v>0</v>
      </c>
      <c r="T277" s="17" t="s">
        <v>15</v>
      </c>
      <c r="U277" s="40">
        <v>22500</v>
      </c>
      <c r="V277" s="40">
        <v>22500</v>
      </c>
      <c r="W277" s="40">
        <v>22500</v>
      </c>
      <c r="X277" s="40">
        <v>22500</v>
      </c>
      <c r="Z277" s="40">
        <v>22500</v>
      </c>
      <c r="AA277" s="40">
        <f>+'FFA &amp; Spot Rates'!K$39</f>
        <v>28822</v>
      </c>
      <c r="AB277" s="40">
        <f>+'FFA &amp; Spot Rates'!L$39</f>
        <v>26469</v>
      </c>
      <c r="AC277" s="40">
        <f>+'FFA &amp; Spot Rates'!M$39</f>
        <v>37297</v>
      </c>
    </row>
    <row r="278" spans="3:29" x14ac:dyDescent="0.2">
      <c r="C278" s="17" t="s">
        <v>304</v>
      </c>
      <c r="D278" s="63">
        <v>2009</v>
      </c>
      <c r="R278" s="34">
        <v>0</v>
      </c>
      <c r="S278" s="34">
        <v>0</v>
      </c>
      <c r="T278" s="17" t="s">
        <v>15</v>
      </c>
      <c r="U278" s="40">
        <v>34100</v>
      </c>
      <c r="V278" s="40">
        <f>+'FFA &amp; Spot Rates'!F$39</f>
        <v>29364</v>
      </c>
      <c r="W278" s="40">
        <f>+'FFA &amp; Spot Rates'!G$39</f>
        <v>26558</v>
      </c>
      <c r="X278" s="40">
        <f>+'FFA &amp; Spot Rates'!H$39</f>
        <v>37740</v>
      </c>
      <c r="Z278" s="40">
        <f>+'FFA &amp; Spot Rates'!J$39</f>
        <v>32297</v>
      </c>
      <c r="AA278" s="40">
        <f>+'FFA &amp; Spot Rates'!K$39</f>
        <v>28822</v>
      </c>
      <c r="AB278" s="40">
        <f>+'FFA &amp; Spot Rates'!L$39</f>
        <v>26469</v>
      </c>
      <c r="AC278" s="40">
        <f>+'FFA &amp; Spot Rates'!M$39</f>
        <v>37297</v>
      </c>
    </row>
    <row r="279" spans="3:29" x14ac:dyDescent="0.2">
      <c r="C279" s="17" t="s">
        <v>305</v>
      </c>
      <c r="D279" s="63">
        <v>2009</v>
      </c>
      <c r="R279" s="34">
        <v>0</v>
      </c>
      <c r="S279" s="34">
        <v>0</v>
      </c>
      <c r="T279" s="17" t="s">
        <v>15</v>
      </c>
      <c r="U279" s="40">
        <v>34100</v>
      </c>
      <c r="V279" s="40">
        <f>+'FFA &amp; Spot Rates'!F$39</f>
        <v>29364</v>
      </c>
      <c r="W279" s="40">
        <f>+'FFA &amp; Spot Rates'!G$39</f>
        <v>26558</v>
      </c>
      <c r="X279" s="40">
        <f>+'FFA &amp; Spot Rates'!H$39</f>
        <v>37740</v>
      </c>
      <c r="Z279" s="40">
        <f>+'FFA &amp; Spot Rates'!J$39</f>
        <v>32297</v>
      </c>
      <c r="AA279" s="40">
        <f>+'FFA &amp; Spot Rates'!K$39</f>
        <v>28822</v>
      </c>
      <c r="AB279" s="40">
        <f>+'FFA &amp; Spot Rates'!L$39</f>
        <v>26469</v>
      </c>
      <c r="AC279" s="40">
        <f>+'FFA &amp; Spot Rates'!M$39</f>
        <v>37297</v>
      </c>
    </row>
    <row r="280" spans="3:29" x14ac:dyDescent="0.2">
      <c r="C280" s="17" t="s">
        <v>306</v>
      </c>
      <c r="D280" s="63">
        <v>2008</v>
      </c>
      <c r="R280" s="34">
        <v>0</v>
      </c>
      <c r="S280" s="34">
        <v>0</v>
      </c>
      <c r="T280" s="17" t="s">
        <v>15</v>
      </c>
      <c r="U280" s="40">
        <v>22000</v>
      </c>
      <c r="V280" s="40">
        <v>22000</v>
      </c>
      <c r="W280" s="40">
        <v>22000</v>
      </c>
      <c r="X280" s="40">
        <v>22000</v>
      </c>
      <c r="Z280" s="40">
        <f>+('FFA &amp; Spot Rates'!J$39)/3+22000/3*2</f>
        <v>25432.333333333332</v>
      </c>
      <c r="AA280" s="40">
        <f>+'FFA &amp; Spot Rates'!K$39</f>
        <v>28822</v>
      </c>
      <c r="AB280" s="40">
        <f>+'FFA &amp; Spot Rates'!L$39</f>
        <v>26469</v>
      </c>
      <c r="AC280" s="40">
        <f>+'FFA &amp; Spot Rates'!M$39</f>
        <v>37297</v>
      </c>
    </row>
    <row r="281" spans="3:29" x14ac:dyDescent="0.2">
      <c r="C281" s="17" t="s">
        <v>307</v>
      </c>
      <c r="D281" s="63">
        <v>2008</v>
      </c>
      <c r="R281" s="34">
        <v>0</v>
      </c>
      <c r="S281" s="34">
        <v>0</v>
      </c>
      <c r="T281" s="17" t="s">
        <v>15</v>
      </c>
      <c r="U281" s="40">
        <v>22000</v>
      </c>
      <c r="V281" s="40">
        <v>22000</v>
      </c>
      <c r="W281" s="40">
        <v>22000</v>
      </c>
      <c r="X281" s="40">
        <v>22000</v>
      </c>
      <c r="Z281" s="40">
        <f>+('FFA &amp; Spot Rates'!J$39)/3+22000/3*2</f>
        <v>25432.333333333332</v>
      </c>
      <c r="AA281" s="40">
        <f>+'FFA &amp; Spot Rates'!K$39</f>
        <v>28822</v>
      </c>
      <c r="AB281" s="40">
        <f>+'FFA &amp; Spot Rates'!L$39</f>
        <v>26469</v>
      </c>
      <c r="AC281" s="40">
        <f>+'FFA &amp; Spot Rates'!M$39</f>
        <v>37297</v>
      </c>
    </row>
    <row r="282" spans="3:29" x14ac:dyDescent="0.2">
      <c r="C282" s="17" t="s">
        <v>308</v>
      </c>
      <c r="D282" s="63">
        <v>2012</v>
      </c>
      <c r="R282" s="34">
        <v>0</v>
      </c>
      <c r="S282" s="34">
        <v>0</v>
      </c>
      <c r="T282" s="17" t="s">
        <v>15</v>
      </c>
      <c r="U282" s="40">
        <v>34100</v>
      </c>
      <c r="V282" s="40">
        <f>+'FFA &amp; Spot Rates'!F$39</f>
        <v>29364</v>
      </c>
      <c r="W282" s="40">
        <f>+'FFA &amp; Spot Rates'!G$39</f>
        <v>26558</v>
      </c>
      <c r="X282" s="40">
        <f>+'FFA &amp; Spot Rates'!H$39</f>
        <v>37740</v>
      </c>
      <c r="Z282" s="40">
        <f>+'FFA &amp; Spot Rates'!J$39</f>
        <v>32297</v>
      </c>
      <c r="AA282" s="40">
        <f>+'FFA &amp; Spot Rates'!K$39</f>
        <v>28822</v>
      </c>
      <c r="AB282" s="40">
        <f>+'FFA &amp; Spot Rates'!L$39</f>
        <v>26469</v>
      </c>
      <c r="AC282" s="40">
        <f>+'FFA &amp; Spot Rates'!M$39</f>
        <v>37297</v>
      </c>
    </row>
    <row r="283" spans="3:29" x14ac:dyDescent="0.2">
      <c r="C283" s="17" t="s">
        <v>309</v>
      </c>
      <c r="D283" s="63">
        <v>2010</v>
      </c>
      <c r="R283" s="34">
        <v>0</v>
      </c>
      <c r="S283" s="34">
        <v>0</v>
      </c>
      <c r="T283" s="17" t="s">
        <v>15</v>
      </c>
      <c r="U283" s="40">
        <v>34100</v>
      </c>
      <c r="V283" s="40">
        <f>+'FFA &amp; Spot Rates'!F$39</f>
        <v>29364</v>
      </c>
      <c r="W283" s="40">
        <f>+'FFA &amp; Spot Rates'!G$39</f>
        <v>26558</v>
      </c>
      <c r="X283" s="40">
        <f>+'FFA &amp; Spot Rates'!H$39</f>
        <v>37740</v>
      </c>
      <c r="Z283" s="40">
        <f>+'FFA &amp; Spot Rates'!J$39</f>
        <v>32297</v>
      </c>
      <c r="AA283" s="40">
        <f>+'FFA &amp; Spot Rates'!K$39</f>
        <v>28822</v>
      </c>
      <c r="AB283" s="40">
        <f>+'FFA &amp; Spot Rates'!L$39</f>
        <v>26469</v>
      </c>
      <c r="AC283" s="40">
        <f>+'FFA &amp; Spot Rates'!M$39</f>
        <v>37297</v>
      </c>
    </row>
    <row r="284" spans="3:29" x14ac:dyDescent="0.2">
      <c r="C284" s="17" t="s">
        <v>310</v>
      </c>
      <c r="D284" s="63">
        <v>2009</v>
      </c>
      <c r="R284" s="34">
        <v>0</v>
      </c>
      <c r="S284" s="34">
        <v>0</v>
      </c>
      <c r="T284" s="17" t="s">
        <v>15</v>
      </c>
      <c r="U284" s="40">
        <v>34100</v>
      </c>
      <c r="V284" s="40">
        <f>+'FFA &amp; Spot Rates'!F$39</f>
        <v>29364</v>
      </c>
      <c r="W284" s="40">
        <f>+'FFA &amp; Spot Rates'!G$39</f>
        <v>26558</v>
      </c>
      <c r="X284" s="40">
        <f>+'FFA &amp; Spot Rates'!H$39</f>
        <v>37740</v>
      </c>
      <c r="Z284" s="40">
        <f>+'FFA &amp; Spot Rates'!J$39</f>
        <v>32297</v>
      </c>
      <c r="AA284" s="40">
        <f>+'FFA &amp; Spot Rates'!K$39</f>
        <v>28822</v>
      </c>
      <c r="AB284" s="40">
        <f>+'FFA &amp; Spot Rates'!L$39</f>
        <v>26469</v>
      </c>
      <c r="AC284" s="40">
        <f>+'FFA &amp; Spot Rates'!M$39</f>
        <v>37297</v>
      </c>
    </row>
    <row r="285" spans="3:29" x14ac:dyDescent="0.2">
      <c r="C285" s="17" t="s">
        <v>311</v>
      </c>
      <c r="D285" s="63">
        <v>2015</v>
      </c>
      <c r="R285" s="34">
        <v>0</v>
      </c>
      <c r="S285" s="34">
        <v>0</v>
      </c>
      <c r="T285" s="17" t="s">
        <v>15</v>
      </c>
      <c r="U285" s="40">
        <v>34100</v>
      </c>
      <c r="V285" s="40">
        <f>+'FFA &amp; Spot Rates'!F$39</f>
        <v>29364</v>
      </c>
      <c r="W285" s="40">
        <f>+'FFA &amp; Spot Rates'!G$39</f>
        <v>26558</v>
      </c>
      <c r="X285" s="40">
        <f>+'FFA &amp; Spot Rates'!H$39</f>
        <v>37740</v>
      </c>
      <c r="Z285" s="40">
        <f>+'FFA &amp; Spot Rates'!J$39</f>
        <v>32297</v>
      </c>
      <c r="AA285" s="40">
        <f>+'FFA &amp; Spot Rates'!K$39</f>
        <v>28822</v>
      </c>
      <c r="AB285" s="40">
        <f>+'FFA &amp; Spot Rates'!L$39</f>
        <v>26469</v>
      </c>
      <c r="AC285" s="40">
        <f>+'FFA &amp; Spot Rates'!M$39</f>
        <v>37297</v>
      </c>
    </row>
    <row r="286" spans="3:29" x14ac:dyDescent="0.2">
      <c r="C286" s="17" t="s">
        <v>344</v>
      </c>
      <c r="D286" s="63">
        <v>2015</v>
      </c>
      <c r="R286" s="34">
        <v>0</v>
      </c>
      <c r="S286" s="34">
        <v>0</v>
      </c>
      <c r="T286" s="17" t="s">
        <v>15</v>
      </c>
      <c r="U286" s="40">
        <v>34100</v>
      </c>
      <c r="V286" s="40">
        <f>+'FFA &amp; Spot Rates'!F$39</f>
        <v>29364</v>
      </c>
      <c r="W286" s="40">
        <f>+'FFA &amp; Spot Rates'!G$39</f>
        <v>26558</v>
      </c>
      <c r="X286" s="40">
        <f>+'FFA &amp; Spot Rates'!H$39</f>
        <v>37740</v>
      </c>
      <c r="Z286" s="40">
        <f>+'FFA &amp; Spot Rates'!J$39</f>
        <v>32297</v>
      </c>
      <c r="AA286" s="40">
        <f>+'FFA &amp; Spot Rates'!K$39</f>
        <v>28822</v>
      </c>
      <c r="AB286" s="40">
        <f>+'FFA &amp; Spot Rates'!L$39</f>
        <v>26469</v>
      </c>
      <c r="AC286" s="40">
        <f>+'FFA &amp; Spot Rates'!M$39</f>
        <v>37297</v>
      </c>
    </row>
    <row r="287" spans="3:29" x14ac:dyDescent="0.2">
      <c r="C287" s="17" t="s">
        <v>345</v>
      </c>
      <c r="D287" s="63">
        <v>2016</v>
      </c>
      <c r="R287" s="34">
        <v>0</v>
      </c>
      <c r="S287" s="34">
        <v>0</v>
      </c>
      <c r="T287" s="17" t="s">
        <v>15</v>
      </c>
      <c r="U287" s="40">
        <v>34100</v>
      </c>
      <c r="V287" s="40">
        <f>+'FFA &amp; Spot Rates'!F$39</f>
        <v>29364</v>
      </c>
      <c r="W287" s="40">
        <f>+'FFA &amp; Spot Rates'!G$39</f>
        <v>26558</v>
      </c>
      <c r="X287" s="40">
        <f>+'FFA &amp; Spot Rates'!H$39</f>
        <v>37740</v>
      </c>
      <c r="Z287" s="40">
        <f>+'FFA &amp; Spot Rates'!J$39</f>
        <v>32297</v>
      </c>
      <c r="AA287" s="40">
        <f>+'FFA &amp; Spot Rates'!K$39</f>
        <v>28822</v>
      </c>
      <c r="AB287" s="40">
        <f>+'FFA &amp; Spot Rates'!L$39</f>
        <v>26469</v>
      </c>
      <c r="AC287" s="40">
        <f>+'FFA &amp; Spot Rates'!M$39</f>
        <v>37297</v>
      </c>
    </row>
    <row r="288" spans="3:29" x14ac:dyDescent="0.2">
      <c r="C288" s="17" t="s">
        <v>346</v>
      </c>
      <c r="D288" s="63">
        <v>2008</v>
      </c>
      <c r="R288" s="34">
        <v>1</v>
      </c>
      <c r="S288" s="34">
        <v>0</v>
      </c>
      <c r="T288" s="17" t="s">
        <v>15</v>
      </c>
      <c r="U288" s="40">
        <v>34100</v>
      </c>
      <c r="V288" s="40">
        <f>+'FFA &amp; Spot Rates'!F$39</f>
        <v>29364</v>
      </c>
      <c r="W288" s="40">
        <f>+'FFA &amp; Spot Rates'!G$39</f>
        <v>26558</v>
      </c>
      <c r="X288" s="40">
        <f>+'FFA &amp; Spot Rates'!H$39</f>
        <v>37740</v>
      </c>
      <c r="Z288" s="40">
        <f>+'FFA &amp; Spot Rates'!J$39</f>
        <v>32297</v>
      </c>
      <c r="AA288" s="40">
        <f>+'FFA &amp; Spot Rates'!K$39</f>
        <v>28822</v>
      </c>
      <c r="AB288" s="40">
        <f>+'FFA &amp; Spot Rates'!L$39</f>
        <v>26469</v>
      </c>
      <c r="AC288" s="40">
        <f>+'FFA &amp; Spot Rates'!M$39</f>
        <v>37297</v>
      </c>
    </row>
    <row r="289" spans="3:29" x14ac:dyDescent="0.2">
      <c r="C289" s="17" t="s">
        <v>347</v>
      </c>
      <c r="D289" s="63">
        <v>2008</v>
      </c>
      <c r="R289" s="34">
        <v>0</v>
      </c>
      <c r="S289" s="34">
        <v>0</v>
      </c>
      <c r="T289" s="17" t="s">
        <v>15</v>
      </c>
      <c r="U289" s="40">
        <v>21350</v>
      </c>
      <c r="V289" s="40">
        <v>21350</v>
      </c>
      <c r="W289" s="40">
        <v>21350</v>
      </c>
      <c r="X289" s="40">
        <v>21350</v>
      </c>
      <c r="Z289" s="40">
        <v>21350</v>
      </c>
      <c r="AA289" s="40">
        <v>21350</v>
      </c>
      <c r="AB289" s="40">
        <v>21350</v>
      </c>
      <c r="AC289" s="40">
        <v>21350</v>
      </c>
    </row>
    <row r="290" spans="3:29" x14ac:dyDescent="0.2">
      <c r="C290" s="17" t="s">
        <v>348</v>
      </c>
      <c r="D290" s="63">
        <v>2008</v>
      </c>
      <c r="R290" s="34">
        <v>0</v>
      </c>
      <c r="S290" s="34">
        <v>1</v>
      </c>
      <c r="T290" s="17" t="s">
        <v>15</v>
      </c>
      <c r="U290" s="40">
        <v>34100</v>
      </c>
      <c r="V290" s="40">
        <f>+'FFA &amp; Spot Rates'!F$39</f>
        <v>29364</v>
      </c>
      <c r="W290" s="40">
        <f>+'FFA &amp; Spot Rates'!G$39</f>
        <v>26558</v>
      </c>
      <c r="X290" s="40">
        <f>+'FFA &amp; Spot Rates'!H$39</f>
        <v>37740</v>
      </c>
      <c r="Z290" s="40">
        <f>+'FFA &amp; Spot Rates'!J$39</f>
        <v>32297</v>
      </c>
      <c r="AA290" s="40">
        <f>+'FFA &amp; Spot Rates'!K$39</f>
        <v>28822</v>
      </c>
      <c r="AB290" s="40">
        <f>+'FFA &amp; Spot Rates'!L$39</f>
        <v>26469</v>
      </c>
      <c r="AC290" s="40">
        <f>+'FFA &amp; Spot Rates'!M$39</f>
        <v>37297</v>
      </c>
    </row>
    <row r="291" spans="3:29" x14ac:dyDescent="0.2">
      <c r="C291" s="17" t="s">
        <v>349</v>
      </c>
      <c r="D291" s="63">
        <v>2009</v>
      </c>
      <c r="R291" s="34">
        <v>0</v>
      </c>
      <c r="S291" s="34">
        <v>1</v>
      </c>
      <c r="T291" s="17" t="s">
        <v>15</v>
      </c>
      <c r="U291" s="40">
        <v>34100</v>
      </c>
      <c r="V291" s="40">
        <f>+'FFA &amp; Spot Rates'!F$39</f>
        <v>29364</v>
      </c>
      <c r="W291" s="40">
        <f>+'FFA &amp; Spot Rates'!G$39</f>
        <v>26558</v>
      </c>
      <c r="X291" s="40">
        <f>+'FFA &amp; Spot Rates'!H$39</f>
        <v>37740</v>
      </c>
      <c r="Z291" s="40">
        <f>+'FFA &amp; Spot Rates'!J$39</f>
        <v>32297</v>
      </c>
      <c r="AA291" s="40">
        <f>+'FFA &amp; Spot Rates'!K$39</f>
        <v>28822</v>
      </c>
      <c r="AB291" s="40">
        <f>+'FFA &amp; Spot Rates'!L$39</f>
        <v>26469</v>
      </c>
      <c r="AC291" s="40">
        <f>+'FFA &amp; Spot Rates'!M$39</f>
        <v>37297</v>
      </c>
    </row>
    <row r="292" spans="3:29" x14ac:dyDescent="0.2">
      <c r="C292" s="17" t="s">
        <v>350</v>
      </c>
      <c r="D292" s="63">
        <v>2009</v>
      </c>
      <c r="R292" s="34">
        <v>0</v>
      </c>
      <c r="S292" s="34">
        <v>1</v>
      </c>
      <c r="T292" s="17" t="s">
        <v>15</v>
      </c>
      <c r="U292" s="40">
        <v>34100</v>
      </c>
      <c r="V292" s="40">
        <f>+'FFA &amp; Spot Rates'!F$39</f>
        <v>29364</v>
      </c>
      <c r="W292" s="40">
        <f>+'FFA &amp; Spot Rates'!G$39</f>
        <v>26558</v>
      </c>
      <c r="X292" s="40">
        <f>+'FFA &amp; Spot Rates'!H$39</f>
        <v>37740</v>
      </c>
      <c r="Z292" s="40">
        <f>+'FFA &amp; Spot Rates'!J$39</f>
        <v>32297</v>
      </c>
      <c r="AA292" s="40">
        <f>+'FFA &amp; Spot Rates'!K$39</f>
        <v>28822</v>
      </c>
      <c r="AB292" s="40">
        <f>+'FFA &amp; Spot Rates'!L$39</f>
        <v>26469</v>
      </c>
      <c r="AC292" s="40">
        <f>+'FFA &amp; Spot Rates'!M$39</f>
        <v>37297</v>
      </c>
    </row>
    <row r="293" spans="3:29" x14ac:dyDescent="0.2">
      <c r="C293" s="17" t="s">
        <v>312</v>
      </c>
      <c r="D293" s="63">
        <v>2015</v>
      </c>
      <c r="R293" s="34">
        <v>0</v>
      </c>
      <c r="S293" s="34">
        <v>0</v>
      </c>
      <c r="T293" s="17" t="s">
        <v>15</v>
      </c>
      <c r="U293" s="40">
        <v>34100</v>
      </c>
      <c r="V293" s="40">
        <f>+'FFA &amp; Spot Rates'!F$39</f>
        <v>29364</v>
      </c>
      <c r="W293" s="40">
        <f>+'FFA &amp; Spot Rates'!G$39</f>
        <v>26558</v>
      </c>
      <c r="X293" s="40">
        <f>+'FFA &amp; Spot Rates'!H$39</f>
        <v>37740</v>
      </c>
      <c r="Z293" s="40">
        <f>+'FFA &amp; Spot Rates'!J$39</f>
        <v>32297</v>
      </c>
      <c r="AA293" s="40">
        <f>+'FFA &amp; Spot Rates'!K$39</f>
        <v>28822</v>
      </c>
      <c r="AB293" s="40">
        <f>+'FFA &amp; Spot Rates'!L$39</f>
        <v>26469</v>
      </c>
      <c r="AC293" s="40">
        <f>+'FFA &amp; Spot Rates'!M$39</f>
        <v>37297</v>
      </c>
    </row>
    <row r="294" spans="3:29" x14ac:dyDescent="0.2">
      <c r="C294" s="17" t="s">
        <v>351</v>
      </c>
      <c r="D294" s="144">
        <v>2007</v>
      </c>
      <c r="R294" s="34">
        <v>0</v>
      </c>
      <c r="S294" s="34">
        <v>0</v>
      </c>
      <c r="T294" s="17" t="s">
        <v>15</v>
      </c>
      <c r="U294" s="40">
        <v>34100</v>
      </c>
      <c r="V294" s="40">
        <f>+'FFA &amp; Spot Rates'!F$39</f>
        <v>29364</v>
      </c>
      <c r="W294" s="40">
        <f>+'FFA &amp; Spot Rates'!G$39</f>
        <v>26558</v>
      </c>
      <c r="X294" s="40">
        <f>+'FFA &amp; Spot Rates'!H$39</f>
        <v>37740</v>
      </c>
      <c r="Z294" s="40">
        <f>+'FFA &amp; Spot Rates'!J$39</f>
        <v>32297</v>
      </c>
      <c r="AA294" s="40">
        <f>+'FFA &amp; Spot Rates'!K$39</f>
        <v>28822</v>
      </c>
      <c r="AB294" s="40">
        <f>+'FFA &amp; Spot Rates'!L$39</f>
        <v>26469</v>
      </c>
      <c r="AC294" s="40">
        <f>+'FFA &amp; Spot Rates'!M$39</f>
        <v>37297</v>
      </c>
    </row>
    <row r="295" spans="3:29" x14ac:dyDescent="0.2">
      <c r="C295" s="17" t="s">
        <v>352</v>
      </c>
      <c r="D295" s="63">
        <v>2008</v>
      </c>
      <c r="R295" s="34">
        <v>0</v>
      </c>
      <c r="S295" s="34">
        <v>0</v>
      </c>
      <c r="T295" s="17" t="s">
        <v>15</v>
      </c>
      <c r="U295" s="40">
        <v>34100</v>
      </c>
      <c r="V295" s="40">
        <f>+'FFA &amp; Spot Rates'!F$39</f>
        <v>29364</v>
      </c>
      <c r="W295" s="40">
        <f>+'FFA &amp; Spot Rates'!G$39</f>
        <v>26558</v>
      </c>
      <c r="X295" s="40">
        <f>+'FFA &amp; Spot Rates'!H$39</f>
        <v>37740</v>
      </c>
      <c r="Z295" s="40">
        <f>+'FFA &amp; Spot Rates'!J$39</f>
        <v>32297</v>
      </c>
      <c r="AA295" s="40">
        <f>+'FFA &amp; Spot Rates'!K$39</f>
        <v>28822</v>
      </c>
      <c r="AB295" s="40">
        <f>+'FFA &amp; Spot Rates'!L$39</f>
        <v>26469</v>
      </c>
      <c r="AC295" s="40">
        <f>+'FFA &amp; Spot Rates'!M$39</f>
        <v>37297</v>
      </c>
    </row>
    <row r="296" spans="3:29" x14ac:dyDescent="0.2">
      <c r="C296" s="17" t="s">
        <v>313</v>
      </c>
      <c r="D296" s="63">
        <v>2008</v>
      </c>
      <c r="R296" s="34">
        <v>0</v>
      </c>
      <c r="S296" s="34">
        <v>0</v>
      </c>
      <c r="T296" s="17" t="s">
        <v>15</v>
      </c>
      <c r="U296" s="40">
        <v>34100</v>
      </c>
      <c r="V296" s="40">
        <f>+'FFA &amp; Spot Rates'!F$39</f>
        <v>29364</v>
      </c>
      <c r="W296" s="40">
        <f>+'FFA &amp; Spot Rates'!G$39</f>
        <v>26558</v>
      </c>
      <c r="X296" s="40">
        <f>+'FFA &amp; Spot Rates'!H$39</f>
        <v>37740</v>
      </c>
      <c r="Z296" s="40">
        <f>+'FFA &amp; Spot Rates'!J$39</f>
        <v>32297</v>
      </c>
      <c r="AA296" s="40">
        <f>+'FFA &amp; Spot Rates'!K$39</f>
        <v>28822</v>
      </c>
      <c r="AB296" s="40">
        <f>+'FFA &amp; Spot Rates'!L$39</f>
        <v>26469</v>
      </c>
      <c r="AC296" s="40">
        <f>+'FFA &amp; Spot Rates'!M$39</f>
        <v>37297</v>
      </c>
    </row>
    <row r="297" spans="3:29" x14ac:dyDescent="0.2">
      <c r="C297" s="17" t="s">
        <v>353</v>
      </c>
      <c r="D297" s="63">
        <v>2009</v>
      </c>
      <c r="R297" s="34">
        <v>0</v>
      </c>
      <c r="S297" s="34">
        <v>0</v>
      </c>
      <c r="T297" s="17" t="s">
        <v>15</v>
      </c>
      <c r="U297" s="40">
        <v>34100</v>
      </c>
      <c r="V297" s="40">
        <f>+'FFA &amp; Spot Rates'!F$39</f>
        <v>29364</v>
      </c>
      <c r="W297" s="40">
        <f>+'FFA &amp; Spot Rates'!G$39</f>
        <v>26558</v>
      </c>
      <c r="X297" s="40">
        <f>+'FFA &amp; Spot Rates'!H$39</f>
        <v>37740</v>
      </c>
      <c r="Z297" s="40">
        <f>+'FFA &amp; Spot Rates'!J$39</f>
        <v>32297</v>
      </c>
      <c r="AA297" s="40">
        <f>+'FFA &amp; Spot Rates'!K$39</f>
        <v>28822</v>
      </c>
      <c r="AB297" s="40">
        <f>+'FFA &amp; Spot Rates'!L$39</f>
        <v>26469</v>
      </c>
      <c r="AC297" s="40">
        <f>+'FFA &amp; Spot Rates'!M$39</f>
        <v>37297</v>
      </c>
    </row>
    <row r="298" spans="3:29" x14ac:dyDescent="0.2">
      <c r="C298" s="17" t="s">
        <v>314</v>
      </c>
      <c r="D298" s="63">
        <v>2008</v>
      </c>
      <c r="R298" s="34">
        <v>0</v>
      </c>
      <c r="S298" s="34">
        <v>0</v>
      </c>
      <c r="T298" s="17" t="s">
        <v>15</v>
      </c>
      <c r="U298" s="40">
        <v>34100</v>
      </c>
      <c r="V298" s="40">
        <f>+'FFA &amp; Spot Rates'!F$39</f>
        <v>29364</v>
      </c>
      <c r="W298" s="40">
        <f>+'FFA &amp; Spot Rates'!G$39</f>
        <v>26558</v>
      </c>
      <c r="X298" s="40">
        <f>+'FFA &amp; Spot Rates'!H$39</f>
        <v>37740</v>
      </c>
      <c r="Z298" s="40">
        <f>+'FFA &amp; Spot Rates'!J$39</f>
        <v>32297</v>
      </c>
      <c r="AA298" s="40">
        <f>+'FFA &amp; Spot Rates'!K$39</f>
        <v>28822</v>
      </c>
      <c r="AB298" s="40">
        <f>+'FFA &amp; Spot Rates'!L$39</f>
        <v>26469</v>
      </c>
      <c r="AC298" s="40">
        <f>+'FFA &amp; Spot Rates'!M$39</f>
        <v>37297</v>
      </c>
    </row>
    <row r="299" spans="3:29" x14ac:dyDescent="0.2">
      <c r="C299" s="17" t="s">
        <v>354</v>
      </c>
      <c r="D299" s="63">
        <v>2008</v>
      </c>
      <c r="R299" s="34">
        <v>0</v>
      </c>
      <c r="S299" s="34">
        <v>0</v>
      </c>
      <c r="T299" s="17" t="s">
        <v>15</v>
      </c>
      <c r="U299" s="40">
        <v>34100</v>
      </c>
      <c r="V299" s="40">
        <f>+'FFA &amp; Spot Rates'!F$39</f>
        <v>29364</v>
      </c>
      <c r="W299" s="40">
        <f>+'FFA &amp; Spot Rates'!G$39</f>
        <v>26558</v>
      </c>
      <c r="X299" s="40">
        <f>+'FFA &amp; Spot Rates'!H$39</f>
        <v>37740</v>
      </c>
      <c r="Z299" s="40">
        <f>+'FFA &amp; Spot Rates'!J$39</f>
        <v>32297</v>
      </c>
      <c r="AA299" s="40">
        <f>+'FFA &amp; Spot Rates'!K$39</f>
        <v>28822</v>
      </c>
      <c r="AB299" s="40">
        <f>+'FFA &amp; Spot Rates'!L$39</f>
        <v>26469</v>
      </c>
      <c r="AC299" s="40">
        <f>+'FFA &amp; Spot Rates'!M$39</f>
        <v>37297</v>
      </c>
    </row>
    <row r="300" spans="3:29" x14ac:dyDescent="0.2">
      <c r="C300" s="17" t="s">
        <v>355</v>
      </c>
      <c r="D300" s="63">
        <v>2008</v>
      </c>
      <c r="R300" s="34">
        <v>0</v>
      </c>
      <c r="S300" s="34">
        <v>0</v>
      </c>
      <c r="T300" s="17" t="s">
        <v>15</v>
      </c>
      <c r="U300" s="40">
        <v>34100</v>
      </c>
      <c r="V300" s="40">
        <f>+'FFA &amp; Spot Rates'!F$39</f>
        <v>29364</v>
      </c>
      <c r="W300" s="40">
        <f>+'FFA &amp; Spot Rates'!G$39</f>
        <v>26558</v>
      </c>
      <c r="X300" s="40">
        <f>+'FFA &amp; Spot Rates'!H$39</f>
        <v>37740</v>
      </c>
      <c r="Z300" s="40">
        <f>+'FFA &amp; Spot Rates'!J$39</f>
        <v>32297</v>
      </c>
      <c r="AA300" s="40">
        <f>+'FFA &amp; Spot Rates'!K$39</f>
        <v>28822</v>
      </c>
      <c r="AB300" s="40">
        <f>+'FFA &amp; Spot Rates'!L$39</f>
        <v>26469</v>
      </c>
      <c r="AC300" s="40">
        <f>+'FFA &amp; Spot Rates'!M$39</f>
        <v>37297</v>
      </c>
    </row>
    <row r="301" spans="3:29" x14ac:dyDescent="0.2">
      <c r="C301" s="17" t="s">
        <v>356</v>
      </c>
      <c r="D301" s="63">
        <v>2007</v>
      </c>
      <c r="R301" s="34">
        <v>0</v>
      </c>
      <c r="S301" s="34">
        <v>0</v>
      </c>
      <c r="T301" s="17" t="s">
        <v>15</v>
      </c>
      <c r="U301" s="40">
        <v>34100</v>
      </c>
      <c r="V301" s="40">
        <f>+'FFA &amp; Spot Rates'!F$39</f>
        <v>29364</v>
      </c>
      <c r="W301" s="40">
        <f>+'FFA &amp; Spot Rates'!G$39</f>
        <v>26558</v>
      </c>
      <c r="X301" s="40">
        <f>+'FFA &amp; Spot Rates'!H$39</f>
        <v>37740</v>
      </c>
      <c r="Z301" s="40">
        <f>+'FFA &amp; Spot Rates'!J$39</f>
        <v>32297</v>
      </c>
      <c r="AA301" s="40">
        <f>+'FFA &amp; Spot Rates'!K$39</f>
        <v>28822</v>
      </c>
      <c r="AB301" s="40">
        <f>+'FFA &amp; Spot Rates'!L$39</f>
        <v>26469</v>
      </c>
      <c r="AC301" s="40">
        <f>+'FFA &amp; Spot Rates'!M$39</f>
        <v>37297</v>
      </c>
    </row>
    <row r="302" spans="3:29" x14ac:dyDescent="0.2">
      <c r="C302" s="17" t="s">
        <v>357</v>
      </c>
      <c r="D302" s="63">
        <v>2009</v>
      </c>
      <c r="R302" s="34">
        <v>0</v>
      </c>
      <c r="S302" s="34">
        <v>0</v>
      </c>
      <c r="T302" s="17" t="s">
        <v>15</v>
      </c>
      <c r="U302" s="40">
        <v>34100</v>
      </c>
      <c r="V302" s="40">
        <f>+'FFA &amp; Spot Rates'!F$39</f>
        <v>29364</v>
      </c>
      <c r="W302" s="40">
        <f>+'FFA &amp; Spot Rates'!G$39</f>
        <v>26558</v>
      </c>
      <c r="X302" s="40">
        <f>+'FFA &amp; Spot Rates'!H$39</f>
        <v>37740</v>
      </c>
      <c r="Z302" s="40">
        <f>+'FFA &amp; Spot Rates'!J$39</f>
        <v>32297</v>
      </c>
      <c r="AA302" s="40">
        <f>+'FFA &amp; Spot Rates'!K$39</f>
        <v>28822</v>
      </c>
      <c r="AB302" s="40">
        <f>+'FFA &amp; Spot Rates'!L$39</f>
        <v>26469</v>
      </c>
      <c r="AC302" s="40">
        <f>+'FFA &amp; Spot Rates'!M$39</f>
        <v>37297</v>
      </c>
    </row>
    <row r="303" spans="3:29" x14ac:dyDescent="0.2">
      <c r="C303" s="17" t="s">
        <v>315</v>
      </c>
      <c r="D303" s="63">
        <v>2007</v>
      </c>
      <c r="R303" s="34">
        <v>0</v>
      </c>
      <c r="S303" s="34">
        <v>0</v>
      </c>
      <c r="T303" s="17" t="s">
        <v>15</v>
      </c>
      <c r="U303" s="40">
        <v>34100</v>
      </c>
      <c r="V303" s="40">
        <f>+'FFA &amp; Spot Rates'!F$39</f>
        <v>29364</v>
      </c>
      <c r="W303" s="40">
        <f>+'FFA &amp; Spot Rates'!G$39</f>
        <v>26558</v>
      </c>
      <c r="X303" s="40">
        <f>+'FFA &amp; Spot Rates'!H$39</f>
        <v>37740</v>
      </c>
      <c r="Z303" s="40">
        <f>+'FFA &amp; Spot Rates'!J$39</f>
        <v>32297</v>
      </c>
      <c r="AA303" s="40">
        <f>+'FFA &amp; Spot Rates'!K$39</f>
        <v>28822</v>
      </c>
      <c r="AB303" s="40">
        <f>+'FFA &amp; Spot Rates'!L$39</f>
        <v>26469</v>
      </c>
      <c r="AC303" s="40">
        <f>+'FFA &amp; Spot Rates'!M$39</f>
        <v>37297</v>
      </c>
    </row>
    <row r="304" spans="3:29" x14ac:dyDescent="0.2">
      <c r="C304" s="17" t="s">
        <v>316</v>
      </c>
      <c r="D304" s="63">
        <v>2007</v>
      </c>
      <c r="R304" s="34">
        <v>0</v>
      </c>
      <c r="S304" s="34">
        <v>0</v>
      </c>
      <c r="T304" s="17" t="s">
        <v>15</v>
      </c>
      <c r="U304" s="40">
        <v>34100</v>
      </c>
      <c r="V304" s="40">
        <f>+'FFA &amp; Spot Rates'!F$39</f>
        <v>29364</v>
      </c>
      <c r="W304" s="40">
        <f>+'FFA &amp; Spot Rates'!G$39</f>
        <v>26558</v>
      </c>
      <c r="X304" s="40">
        <f>+'FFA &amp; Spot Rates'!H$39</f>
        <v>37740</v>
      </c>
      <c r="Z304" s="40">
        <f>+'FFA &amp; Spot Rates'!J$39</f>
        <v>32297</v>
      </c>
      <c r="AA304" s="40">
        <f>+'FFA &amp; Spot Rates'!K$39</f>
        <v>28822</v>
      </c>
      <c r="AB304" s="40">
        <f>+'FFA &amp; Spot Rates'!L$39</f>
        <v>26469</v>
      </c>
      <c r="AC304" s="40">
        <f>+'FFA &amp; Spot Rates'!M$39</f>
        <v>37297</v>
      </c>
    </row>
    <row r="305" spans="3:29" x14ac:dyDescent="0.2">
      <c r="C305" s="17" t="s">
        <v>317</v>
      </c>
      <c r="D305" s="63">
        <v>2007</v>
      </c>
      <c r="R305" s="34">
        <v>0</v>
      </c>
      <c r="S305" s="34">
        <v>0</v>
      </c>
      <c r="T305" s="17" t="s">
        <v>15</v>
      </c>
      <c r="U305" s="40">
        <v>34100</v>
      </c>
      <c r="V305" s="40">
        <f>+'FFA &amp; Spot Rates'!F$39</f>
        <v>29364</v>
      </c>
      <c r="W305" s="40">
        <f>+'FFA &amp; Spot Rates'!G$39</f>
        <v>26558</v>
      </c>
      <c r="X305" s="40">
        <f>+'FFA &amp; Spot Rates'!H$39</f>
        <v>37740</v>
      </c>
      <c r="Z305" s="40">
        <f>+'FFA &amp; Spot Rates'!J$39</f>
        <v>32297</v>
      </c>
      <c r="AA305" s="40">
        <f>+'FFA &amp; Spot Rates'!K$39</f>
        <v>28822</v>
      </c>
      <c r="AB305" s="40">
        <f>+'FFA &amp; Spot Rates'!L$39</f>
        <v>26469</v>
      </c>
      <c r="AC305" s="40">
        <f>+'FFA &amp; Spot Rates'!M$39</f>
        <v>37297</v>
      </c>
    </row>
    <row r="306" spans="3:29" x14ac:dyDescent="0.2">
      <c r="C306" s="17" t="s">
        <v>318</v>
      </c>
      <c r="D306" s="63">
        <v>2007</v>
      </c>
      <c r="R306" s="34">
        <v>0</v>
      </c>
      <c r="S306" s="34">
        <v>0</v>
      </c>
      <c r="T306" s="17" t="s">
        <v>15</v>
      </c>
      <c r="U306" s="40">
        <v>34100</v>
      </c>
      <c r="V306" s="40">
        <f>+'FFA &amp; Spot Rates'!F$39</f>
        <v>29364</v>
      </c>
      <c r="W306" s="40">
        <f>+'FFA &amp; Spot Rates'!G$39</f>
        <v>26558</v>
      </c>
      <c r="X306" s="40">
        <f>+'FFA &amp; Spot Rates'!H$39</f>
        <v>37740</v>
      </c>
      <c r="Z306" s="40">
        <f>+'FFA &amp; Spot Rates'!J$39</f>
        <v>32297</v>
      </c>
      <c r="AA306" s="40">
        <f>+'FFA &amp; Spot Rates'!K$39</f>
        <v>28822</v>
      </c>
      <c r="AB306" s="40">
        <f>+'FFA &amp; Spot Rates'!L$39</f>
        <v>26469</v>
      </c>
      <c r="AC306" s="40">
        <f>+'FFA &amp; Spot Rates'!M$39</f>
        <v>37297</v>
      </c>
    </row>
    <row r="307" spans="3:29" x14ac:dyDescent="0.2">
      <c r="C307" s="17" t="s">
        <v>319</v>
      </c>
      <c r="R307" s="34">
        <v>0</v>
      </c>
      <c r="S307" s="34">
        <v>0</v>
      </c>
      <c r="T307" s="17" t="s">
        <v>15</v>
      </c>
      <c r="U307" s="40">
        <v>34100</v>
      </c>
      <c r="V307" s="40">
        <f>+'FFA &amp; Spot Rates'!F$39</f>
        <v>29364</v>
      </c>
      <c r="W307" s="40">
        <f>+'FFA &amp; Spot Rates'!G$39</f>
        <v>26558</v>
      </c>
      <c r="X307" s="40">
        <f>+'FFA &amp; Spot Rates'!H$39</f>
        <v>37740</v>
      </c>
      <c r="Z307" s="40">
        <f>+'FFA &amp; Spot Rates'!J$39</f>
        <v>32297</v>
      </c>
      <c r="AA307" s="40">
        <f>+'FFA &amp; Spot Rates'!K$39</f>
        <v>28822</v>
      </c>
      <c r="AB307" s="40">
        <f>+'FFA &amp; Spot Rates'!L$39</f>
        <v>26469</v>
      </c>
      <c r="AC307" s="40">
        <f>+'FFA &amp; Spot Rates'!M$39</f>
        <v>37297</v>
      </c>
    </row>
    <row r="309" spans="3:29" x14ac:dyDescent="0.2">
      <c r="C309" s="127" t="s">
        <v>719</v>
      </c>
      <c r="D309" s="124"/>
      <c r="E309" s="124"/>
      <c r="F309" s="124"/>
      <c r="G309" s="124"/>
      <c r="H309" s="124"/>
      <c r="I309" s="124"/>
      <c r="J309" s="124"/>
      <c r="K309" s="124"/>
      <c r="L309" s="124"/>
      <c r="M309" s="124"/>
      <c r="N309" s="124"/>
      <c r="O309" s="124"/>
      <c r="P309" s="124"/>
      <c r="Q309" s="124"/>
      <c r="R309" s="124"/>
      <c r="S309" s="124"/>
      <c r="T309" s="125"/>
      <c r="U309" s="126"/>
      <c r="V309" s="126"/>
      <c r="W309" s="126"/>
      <c r="X309" s="126"/>
      <c r="Y309" s="126"/>
      <c r="Z309" s="126"/>
      <c r="AA309" s="126"/>
      <c r="AB309" s="126"/>
      <c r="AC309" s="126"/>
    </row>
    <row r="310" spans="3:29" x14ac:dyDescent="0.2">
      <c r="C310" s="17" t="s">
        <v>324</v>
      </c>
      <c r="D310" s="20"/>
      <c r="T310" s="17" t="s">
        <v>11</v>
      </c>
      <c r="U310" s="40">
        <v>0</v>
      </c>
      <c r="V310" s="40">
        <v>0</v>
      </c>
      <c r="W310" s="40">
        <v>0</v>
      </c>
      <c r="X310" s="40">
        <v>0</v>
      </c>
      <c r="Y310" s="34"/>
      <c r="Z310" s="40">
        <v>9105</v>
      </c>
      <c r="AA310" s="40">
        <v>9105</v>
      </c>
      <c r="AB310" s="40">
        <v>9105</v>
      </c>
      <c r="AC310" s="40">
        <v>9105</v>
      </c>
    </row>
    <row r="311" spans="3:29" x14ac:dyDescent="0.2">
      <c r="C311" s="17" t="s">
        <v>325</v>
      </c>
      <c r="D311" s="20"/>
      <c r="T311" s="17" t="s">
        <v>11</v>
      </c>
      <c r="U311" s="40">
        <v>0</v>
      </c>
      <c r="V311" s="40">
        <v>0</v>
      </c>
      <c r="W311" s="40">
        <v>0</v>
      </c>
      <c r="X311" s="40">
        <v>0</v>
      </c>
      <c r="Y311" s="34"/>
      <c r="Z311" s="40">
        <v>9105</v>
      </c>
      <c r="AA311" s="40">
        <v>9105</v>
      </c>
      <c r="AB311" s="40">
        <v>9105</v>
      </c>
      <c r="AC311" s="40">
        <v>9105</v>
      </c>
    </row>
    <row r="312" spans="3:29" x14ac:dyDescent="0.2">
      <c r="C312" s="17" t="s">
        <v>326</v>
      </c>
      <c r="D312" s="20"/>
      <c r="T312" s="17" t="s">
        <v>11</v>
      </c>
      <c r="U312" s="40">
        <v>0</v>
      </c>
      <c r="V312" s="40">
        <v>0</v>
      </c>
      <c r="W312" s="40">
        <v>0</v>
      </c>
      <c r="X312" s="40">
        <v>0</v>
      </c>
      <c r="Y312" s="34"/>
      <c r="Z312" s="40">
        <v>9105</v>
      </c>
      <c r="AA312" s="40">
        <v>9105</v>
      </c>
      <c r="AB312" s="40">
        <v>9105</v>
      </c>
      <c r="AC312" s="40">
        <v>9105</v>
      </c>
    </row>
    <row r="313" spans="3:29" x14ac:dyDescent="0.2">
      <c r="C313" s="17" t="s">
        <v>327</v>
      </c>
      <c r="D313" s="20"/>
      <c r="T313" s="17" t="s">
        <v>11</v>
      </c>
      <c r="U313" s="40">
        <v>0</v>
      </c>
      <c r="V313" s="40">
        <v>0</v>
      </c>
      <c r="W313" s="40">
        <v>0</v>
      </c>
      <c r="X313" s="40">
        <v>0</v>
      </c>
      <c r="Y313" s="34"/>
      <c r="Z313" s="40">
        <v>9105</v>
      </c>
      <c r="AA313" s="40">
        <v>9105</v>
      </c>
      <c r="AB313" s="40">
        <v>9105</v>
      </c>
      <c r="AC313" s="40">
        <v>9105</v>
      </c>
    </row>
    <row r="314" spans="3:29" x14ac:dyDescent="0.2">
      <c r="C314" s="17" t="s">
        <v>328</v>
      </c>
      <c r="D314" s="20"/>
      <c r="T314" s="17" t="s">
        <v>11</v>
      </c>
      <c r="U314" s="40">
        <v>0</v>
      </c>
      <c r="V314" s="40">
        <v>0</v>
      </c>
      <c r="W314" s="40">
        <v>0</v>
      </c>
      <c r="X314" s="40">
        <v>0</v>
      </c>
      <c r="Y314" s="34"/>
      <c r="Z314" s="40">
        <v>9105</v>
      </c>
      <c r="AA314" s="40">
        <v>9105</v>
      </c>
      <c r="AB314" s="40">
        <v>9105</v>
      </c>
      <c r="AC314" s="40">
        <v>9105</v>
      </c>
    </row>
    <row r="315" spans="3:29" x14ac:dyDescent="0.2">
      <c r="C315" s="17" t="s">
        <v>329</v>
      </c>
      <c r="D315" s="20"/>
      <c r="T315" s="17" t="s">
        <v>11</v>
      </c>
      <c r="U315" s="40">
        <v>0</v>
      </c>
      <c r="V315" s="40">
        <v>0</v>
      </c>
      <c r="W315" s="40">
        <v>0</v>
      </c>
      <c r="X315" s="40">
        <v>0</v>
      </c>
      <c r="Y315" s="34"/>
      <c r="Z315" s="40">
        <v>9105</v>
      </c>
      <c r="AA315" s="40">
        <v>9105</v>
      </c>
      <c r="AB315" s="40">
        <v>9105</v>
      </c>
      <c r="AC315" s="40">
        <v>9105</v>
      </c>
    </row>
    <row r="316" spans="3:29" x14ac:dyDescent="0.2">
      <c r="C316" s="17" t="s">
        <v>330</v>
      </c>
      <c r="D316" s="20"/>
      <c r="T316" s="17" t="s">
        <v>11</v>
      </c>
      <c r="U316" s="40">
        <v>0</v>
      </c>
      <c r="V316" s="40">
        <v>0</v>
      </c>
      <c r="W316" s="40">
        <v>0</v>
      </c>
      <c r="X316" s="40">
        <v>0</v>
      </c>
      <c r="Y316" s="34"/>
      <c r="Z316" s="40">
        <v>9105</v>
      </c>
      <c r="AA316" s="40">
        <v>9105</v>
      </c>
      <c r="AB316" s="40">
        <v>9105</v>
      </c>
      <c r="AC316" s="40">
        <v>9105</v>
      </c>
    </row>
    <row r="317" spans="3:29" x14ac:dyDescent="0.2">
      <c r="C317" s="17" t="s">
        <v>331</v>
      </c>
      <c r="D317" s="20"/>
      <c r="T317" s="17" t="s">
        <v>11</v>
      </c>
      <c r="U317" s="40">
        <v>0</v>
      </c>
      <c r="V317" s="40">
        <v>0</v>
      </c>
      <c r="W317" s="40">
        <v>0</v>
      </c>
      <c r="X317" s="40">
        <v>0</v>
      </c>
      <c r="Y317" s="34"/>
      <c r="Z317" s="40">
        <v>9105</v>
      </c>
      <c r="AA317" s="40">
        <v>9105</v>
      </c>
      <c r="AB317" s="40">
        <v>9105</v>
      </c>
      <c r="AC317" s="40">
        <v>9105</v>
      </c>
    </row>
    <row r="318" spans="3:29" x14ac:dyDescent="0.2">
      <c r="C318" s="17" t="s">
        <v>332</v>
      </c>
      <c r="D318" s="20"/>
      <c r="T318" s="17" t="s">
        <v>11</v>
      </c>
      <c r="U318" s="40">
        <v>0</v>
      </c>
      <c r="V318" s="40">
        <v>0</v>
      </c>
      <c r="W318" s="40">
        <v>0</v>
      </c>
      <c r="X318" s="40">
        <v>0</v>
      </c>
      <c r="Y318" s="34"/>
      <c r="Z318" s="40">
        <v>9105</v>
      </c>
      <c r="AA318" s="40">
        <v>9105</v>
      </c>
      <c r="AB318" s="40">
        <v>9105</v>
      </c>
      <c r="AC318" s="40">
        <v>9105</v>
      </c>
    </row>
    <row r="319" spans="3:29" x14ac:dyDescent="0.2">
      <c r="C319" s="17" t="s">
        <v>333</v>
      </c>
      <c r="D319" s="20"/>
      <c r="T319" s="17" t="s">
        <v>11</v>
      </c>
      <c r="U319" s="40">
        <v>0</v>
      </c>
      <c r="V319" s="40">
        <v>0</v>
      </c>
      <c r="W319" s="40">
        <v>0</v>
      </c>
      <c r="X319" s="40">
        <v>0</v>
      </c>
      <c r="Y319" s="34"/>
      <c r="Z319" s="40">
        <v>9105</v>
      </c>
      <c r="AA319" s="40">
        <v>9105</v>
      </c>
      <c r="AB319" s="40">
        <v>9105</v>
      </c>
      <c r="AC319" s="40">
        <v>9105</v>
      </c>
    </row>
    <row r="320" spans="3:29" x14ac:dyDescent="0.2">
      <c r="C320" s="17" t="s">
        <v>334</v>
      </c>
      <c r="D320" s="20"/>
      <c r="T320" s="17" t="s">
        <v>11</v>
      </c>
      <c r="U320" s="40">
        <v>0</v>
      </c>
      <c r="V320" s="40">
        <v>0</v>
      </c>
      <c r="W320" s="40">
        <v>0</v>
      </c>
      <c r="X320" s="40">
        <v>0</v>
      </c>
      <c r="Y320" s="34"/>
      <c r="Z320" s="40">
        <v>9105</v>
      </c>
      <c r="AA320" s="40">
        <v>9105</v>
      </c>
      <c r="AB320" s="40">
        <v>9105</v>
      </c>
      <c r="AC320" s="40">
        <v>9105</v>
      </c>
    </row>
    <row r="321" spans="3:29" x14ac:dyDescent="0.2">
      <c r="C321" s="17" t="s">
        <v>335</v>
      </c>
      <c r="D321" s="20"/>
      <c r="T321" s="17" t="s">
        <v>11</v>
      </c>
      <c r="U321" s="40">
        <v>0</v>
      </c>
      <c r="V321" s="40">
        <v>0</v>
      </c>
      <c r="W321" s="40">
        <v>0</v>
      </c>
      <c r="X321" s="40">
        <v>0</v>
      </c>
      <c r="Y321" s="34"/>
      <c r="Z321" s="40">
        <v>9105</v>
      </c>
      <c r="AA321" s="40">
        <v>9105</v>
      </c>
      <c r="AB321" s="40">
        <v>9105</v>
      </c>
      <c r="AC321" s="40">
        <v>9105</v>
      </c>
    </row>
    <row r="322" spans="3:29" x14ac:dyDescent="0.2">
      <c r="C322" s="17" t="s">
        <v>336</v>
      </c>
      <c r="D322" s="20"/>
      <c r="T322" s="17" t="s">
        <v>11</v>
      </c>
      <c r="U322" s="40">
        <v>0</v>
      </c>
      <c r="V322" s="40">
        <v>0</v>
      </c>
      <c r="W322" s="40">
        <v>0</v>
      </c>
      <c r="X322" s="40">
        <v>0</v>
      </c>
      <c r="Y322" s="34"/>
      <c r="Z322" s="40">
        <v>9105</v>
      </c>
      <c r="AA322" s="40">
        <v>9105</v>
      </c>
      <c r="AB322" s="40">
        <v>9105</v>
      </c>
      <c r="AC322" s="40">
        <v>9105</v>
      </c>
    </row>
    <row r="323" spans="3:29" x14ac:dyDescent="0.2">
      <c r="C323" s="17" t="s">
        <v>282</v>
      </c>
      <c r="D323" s="20"/>
      <c r="T323" s="17" t="s">
        <v>13</v>
      </c>
      <c r="U323" s="40">
        <v>0</v>
      </c>
      <c r="V323" s="40">
        <v>0</v>
      </c>
      <c r="W323" s="40">
        <v>0</v>
      </c>
      <c r="X323" s="40">
        <v>0</v>
      </c>
      <c r="Y323" s="34"/>
      <c r="Z323" s="40">
        <v>9105</v>
      </c>
      <c r="AA323" s="40">
        <v>9105</v>
      </c>
      <c r="AB323" s="40">
        <v>9105</v>
      </c>
      <c r="AC323" s="40">
        <v>9105</v>
      </c>
    </row>
    <row r="324" spans="3:29" x14ac:dyDescent="0.2">
      <c r="C324" s="17" t="s">
        <v>283</v>
      </c>
      <c r="T324" s="17" t="s">
        <v>13</v>
      </c>
      <c r="U324" s="40">
        <v>0</v>
      </c>
      <c r="V324" s="40">
        <v>0</v>
      </c>
      <c r="W324" s="40">
        <v>0</v>
      </c>
      <c r="X324" s="40">
        <v>0</v>
      </c>
    </row>
    <row r="325" spans="3:29" x14ac:dyDescent="0.2">
      <c r="C325" s="17" t="s">
        <v>284</v>
      </c>
      <c r="T325" s="17" t="s">
        <v>13</v>
      </c>
      <c r="U325" s="40">
        <v>0</v>
      </c>
      <c r="V325" s="40">
        <v>0</v>
      </c>
      <c r="W325" s="40">
        <v>0</v>
      </c>
      <c r="X325" s="40">
        <v>0</v>
      </c>
    </row>
    <row r="326" spans="3:29" x14ac:dyDescent="0.2">
      <c r="C326" s="17" t="s">
        <v>285</v>
      </c>
      <c r="T326" s="17" t="s">
        <v>13</v>
      </c>
      <c r="U326" s="40">
        <v>0</v>
      </c>
      <c r="V326" s="40">
        <v>0</v>
      </c>
      <c r="W326" s="40">
        <v>0</v>
      </c>
      <c r="X326" s="40">
        <v>0</v>
      </c>
    </row>
    <row r="327" spans="3:29" x14ac:dyDescent="0.2">
      <c r="C327" s="17" t="s">
        <v>337</v>
      </c>
      <c r="T327" s="17" t="s">
        <v>13</v>
      </c>
      <c r="U327" s="40">
        <v>0</v>
      </c>
      <c r="V327" s="40">
        <v>0</v>
      </c>
      <c r="W327" s="40">
        <v>0</v>
      </c>
      <c r="X327" s="40">
        <v>0</v>
      </c>
    </row>
    <row r="328" spans="3:29" x14ac:dyDescent="0.2">
      <c r="C328" s="17" t="s">
        <v>338</v>
      </c>
      <c r="T328" s="17" t="s">
        <v>13</v>
      </c>
      <c r="U328" s="40">
        <v>0</v>
      </c>
      <c r="V328" s="40">
        <v>0</v>
      </c>
      <c r="W328" s="40">
        <v>0</v>
      </c>
      <c r="X328" s="40">
        <v>0</v>
      </c>
    </row>
    <row r="329" spans="3:29" x14ac:dyDescent="0.2">
      <c r="C329" s="17" t="s">
        <v>286</v>
      </c>
      <c r="T329" s="17" t="s">
        <v>13</v>
      </c>
      <c r="U329" s="40">
        <v>0</v>
      </c>
      <c r="V329" s="40">
        <v>0</v>
      </c>
      <c r="W329" s="40">
        <v>0</v>
      </c>
      <c r="X329" s="40">
        <v>0</v>
      </c>
    </row>
    <row r="330" spans="3:29" x14ac:dyDescent="0.2">
      <c r="C330" s="17" t="s">
        <v>287</v>
      </c>
      <c r="T330" s="17" t="s">
        <v>13</v>
      </c>
      <c r="U330" s="40">
        <v>0</v>
      </c>
      <c r="V330" s="40">
        <v>0</v>
      </c>
      <c r="W330" s="40">
        <v>0</v>
      </c>
      <c r="X330" s="40">
        <v>0</v>
      </c>
    </row>
    <row r="331" spans="3:29" x14ac:dyDescent="0.2">
      <c r="C331" s="17" t="s">
        <v>288</v>
      </c>
      <c r="T331" s="17" t="s">
        <v>13</v>
      </c>
      <c r="U331" s="40">
        <v>0</v>
      </c>
      <c r="V331" s="40">
        <v>0</v>
      </c>
      <c r="W331" s="40">
        <v>0</v>
      </c>
      <c r="X331" s="40">
        <v>0</v>
      </c>
    </row>
    <row r="332" spans="3:29" x14ac:dyDescent="0.2">
      <c r="C332" s="17" t="s">
        <v>289</v>
      </c>
      <c r="T332" s="17" t="s">
        <v>13</v>
      </c>
      <c r="U332" s="40">
        <v>0</v>
      </c>
      <c r="V332" s="40">
        <v>0</v>
      </c>
      <c r="W332" s="40">
        <v>0</v>
      </c>
      <c r="X332" s="40">
        <v>0</v>
      </c>
    </row>
    <row r="333" spans="3:29" x14ac:dyDescent="0.2">
      <c r="C333" s="17" t="s">
        <v>339</v>
      </c>
      <c r="T333" s="17" t="s">
        <v>13</v>
      </c>
      <c r="U333" s="40">
        <v>0</v>
      </c>
      <c r="V333" s="40">
        <v>0</v>
      </c>
      <c r="W333" s="40">
        <v>0</v>
      </c>
      <c r="X333" s="40">
        <v>0</v>
      </c>
    </row>
    <row r="334" spans="3:29" x14ac:dyDescent="0.2">
      <c r="C334" s="17" t="s">
        <v>340</v>
      </c>
      <c r="T334" s="17" t="s">
        <v>13</v>
      </c>
      <c r="U334" s="40">
        <v>0</v>
      </c>
      <c r="V334" s="40">
        <v>0</v>
      </c>
      <c r="W334" s="40">
        <v>0</v>
      </c>
      <c r="X334" s="40">
        <v>0</v>
      </c>
    </row>
    <row r="335" spans="3:29" x14ac:dyDescent="0.2">
      <c r="C335" s="17" t="s">
        <v>341</v>
      </c>
      <c r="T335" s="17" t="s">
        <v>13</v>
      </c>
      <c r="U335" s="40">
        <v>0</v>
      </c>
      <c r="V335" s="40">
        <v>0</v>
      </c>
      <c r="W335" s="40">
        <v>0</v>
      </c>
      <c r="X335" s="40">
        <v>0</v>
      </c>
    </row>
    <row r="336" spans="3:29" x14ac:dyDescent="0.2">
      <c r="C336" s="17" t="s">
        <v>342</v>
      </c>
      <c r="T336" s="17" t="s">
        <v>12</v>
      </c>
      <c r="U336" s="40">
        <v>0</v>
      </c>
      <c r="V336" s="40">
        <v>0</v>
      </c>
      <c r="W336" s="40">
        <v>0</v>
      </c>
      <c r="X336" s="40">
        <v>0</v>
      </c>
    </row>
    <row r="337" spans="3:24" x14ac:dyDescent="0.2">
      <c r="C337" s="17" t="s">
        <v>290</v>
      </c>
      <c r="T337" s="17" t="s">
        <v>12</v>
      </c>
      <c r="U337" s="40">
        <v>0</v>
      </c>
      <c r="V337" s="40">
        <v>0</v>
      </c>
      <c r="W337" s="40">
        <v>0</v>
      </c>
      <c r="X337" s="40">
        <v>0</v>
      </c>
    </row>
    <row r="338" spans="3:24" x14ac:dyDescent="0.2">
      <c r="C338" s="17" t="s">
        <v>291</v>
      </c>
      <c r="T338" s="17" t="s">
        <v>12</v>
      </c>
      <c r="U338" s="40">
        <v>0</v>
      </c>
      <c r="V338" s="40">
        <v>0</v>
      </c>
      <c r="W338" s="40">
        <v>0</v>
      </c>
      <c r="X338" s="40">
        <v>0</v>
      </c>
    </row>
    <row r="339" spans="3:24" x14ac:dyDescent="0.2">
      <c r="C339" s="17" t="s">
        <v>292</v>
      </c>
      <c r="T339" s="17" t="s">
        <v>12</v>
      </c>
      <c r="U339" s="40">
        <v>0</v>
      </c>
      <c r="V339" s="40">
        <v>0</v>
      </c>
      <c r="W339" s="40">
        <v>0</v>
      </c>
      <c r="X339" s="40">
        <v>0</v>
      </c>
    </row>
    <row r="340" spans="3:24" x14ac:dyDescent="0.2">
      <c r="C340" s="17" t="s">
        <v>293</v>
      </c>
      <c r="T340" s="17" t="s">
        <v>17</v>
      </c>
      <c r="U340" s="40">
        <v>0</v>
      </c>
      <c r="V340" s="40">
        <v>0</v>
      </c>
      <c r="W340" s="40">
        <v>0</v>
      </c>
      <c r="X340" s="40">
        <v>0</v>
      </c>
    </row>
    <row r="341" spans="3:24" x14ac:dyDescent="0.2">
      <c r="C341" s="17" t="s">
        <v>343</v>
      </c>
      <c r="T341" s="17" t="s">
        <v>14</v>
      </c>
      <c r="U341" s="40">
        <v>0</v>
      </c>
      <c r="V341" s="40">
        <v>0</v>
      </c>
      <c r="W341" s="40">
        <v>0</v>
      </c>
      <c r="X341" s="40">
        <v>0</v>
      </c>
    </row>
    <row r="342" spans="3:24" x14ac:dyDescent="0.2">
      <c r="C342" s="17" t="s">
        <v>294</v>
      </c>
      <c r="T342" s="17" t="s">
        <v>14</v>
      </c>
      <c r="U342" s="40">
        <v>0</v>
      </c>
      <c r="V342" s="40">
        <v>0</v>
      </c>
      <c r="W342" s="40">
        <v>0</v>
      </c>
      <c r="X342" s="40">
        <v>0</v>
      </c>
    </row>
    <row r="343" spans="3:24" x14ac:dyDescent="0.2">
      <c r="C343" s="17" t="s">
        <v>295</v>
      </c>
      <c r="T343" s="17" t="s">
        <v>14</v>
      </c>
      <c r="U343" s="40">
        <v>0</v>
      </c>
      <c r="V343" s="40">
        <v>0</v>
      </c>
      <c r="W343" s="40">
        <v>0</v>
      </c>
      <c r="X343" s="40">
        <v>0</v>
      </c>
    </row>
    <row r="344" spans="3:24" x14ac:dyDescent="0.2">
      <c r="C344" s="17" t="s">
        <v>296</v>
      </c>
      <c r="T344" s="17" t="s">
        <v>14</v>
      </c>
      <c r="U344" s="40">
        <v>0</v>
      </c>
      <c r="V344" s="40">
        <v>0</v>
      </c>
      <c r="W344" s="40">
        <v>0</v>
      </c>
      <c r="X344" s="40">
        <v>0</v>
      </c>
    </row>
    <row r="345" spans="3:24" x14ac:dyDescent="0.2">
      <c r="C345" s="17" t="s">
        <v>297</v>
      </c>
      <c r="T345" s="17" t="s">
        <v>14</v>
      </c>
      <c r="U345" s="40">
        <v>0</v>
      </c>
      <c r="V345" s="40">
        <v>0</v>
      </c>
      <c r="W345" s="40">
        <v>0</v>
      </c>
      <c r="X345" s="40">
        <v>0</v>
      </c>
    </row>
    <row r="346" spans="3:24" x14ac:dyDescent="0.2">
      <c r="C346" s="17" t="s">
        <v>298</v>
      </c>
      <c r="T346" s="17" t="s">
        <v>14</v>
      </c>
      <c r="U346" s="40">
        <v>0</v>
      </c>
      <c r="V346" s="40">
        <v>0</v>
      </c>
      <c r="W346" s="40">
        <v>0</v>
      </c>
      <c r="X346" s="40">
        <v>0</v>
      </c>
    </row>
    <row r="347" spans="3:24" x14ac:dyDescent="0.2">
      <c r="C347" s="17" t="s">
        <v>299</v>
      </c>
      <c r="T347" s="17" t="s">
        <v>14</v>
      </c>
      <c r="U347" s="40">
        <v>0</v>
      </c>
      <c r="V347" s="40">
        <v>0</v>
      </c>
      <c r="W347" s="40">
        <v>0</v>
      </c>
      <c r="X347" s="40">
        <v>0</v>
      </c>
    </row>
    <row r="348" spans="3:24" x14ac:dyDescent="0.2">
      <c r="C348" s="17" t="s">
        <v>300</v>
      </c>
      <c r="T348" s="17" t="s">
        <v>15</v>
      </c>
      <c r="U348" s="40">
        <v>0</v>
      </c>
      <c r="V348" s="40">
        <v>0</v>
      </c>
      <c r="W348" s="40">
        <v>0</v>
      </c>
      <c r="X348" s="40">
        <v>0</v>
      </c>
    </row>
    <row r="349" spans="3:24" x14ac:dyDescent="0.2">
      <c r="C349" s="17" t="s">
        <v>301</v>
      </c>
      <c r="T349" s="17" t="s">
        <v>15</v>
      </c>
      <c r="U349" s="40">
        <v>0</v>
      </c>
      <c r="V349" s="40">
        <v>0</v>
      </c>
      <c r="W349" s="40">
        <v>0</v>
      </c>
      <c r="X349" s="40">
        <v>0</v>
      </c>
    </row>
    <row r="350" spans="3:24" x14ac:dyDescent="0.2">
      <c r="C350" s="17" t="s">
        <v>302</v>
      </c>
      <c r="T350" s="17" t="s">
        <v>15</v>
      </c>
      <c r="U350" s="40">
        <v>0</v>
      </c>
      <c r="V350" s="40">
        <v>0</v>
      </c>
      <c r="W350" s="40">
        <v>0</v>
      </c>
      <c r="X350" s="40">
        <v>0</v>
      </c>
    </row>
    <row r="351" spans="3:24" x14ac:dyDescent="0.2">
      <c r="C351" s="17" t="s">
        <v>303</v>
      </c>
      <c r="T351" s="17" t="s">
        <v>15</v>
      </c>
      <c r="U351" s="40">
        <v>0</v>
      </c>
      <c r="V351" s="40">
        <v>0</v>
      </c>
      <c r="W351" s="40">
        <v>0</v>
      </c>
      <c r="X351" s="40">
        <v>0</v>
      </c>
    </row>
    <row r="352" spans="3:24" x14ac:dyDescent="0.2">
      <c r="C352" s="17" t="s">
        <v>304</v>
      </c>
      <c r="T352" s="17" t="s">
        <v>15</v>
      </c>
      <c r="U352" s="40">
        <v>0</v>
      </c>
      <c r="V352" s="40">
        <v>0</v>
      </c>
      <c r="W352" s="40">
        <v>0</v>
      </c>
      <c r="X352" s="40">
        <v>0</v>
      </c>
    </row>
    <row r="353" spans="3:24" x14ac:dyDescent="0.2">
      <c r="C353" s="17" t="s">
        <v>305</v>
      </c>
      <c r="T353" s="17" t="s">
        <v>15</v>
      </c>
      <c r="U353" s="40">
        <v>0</v>
      </c>
      <c r="V353" s="40">
        <v>0</v>
      </c>
      <c r="W353" s="40">
        <v>0</v>
      </c>
      <c r="X353" s="40">
        <v>0</v>
      </c>
    </row>
    <row r="354" spans="3:24" x14ac:dyDescent="0.2">
      <c r="C354" s="17" t="s">
        <v>306</v>
      </c>
      <c r="T354" s="17" t="s">
        <v>15</v>
      </c>
      <c r="U354" s="40">
        <v>0</v>
      </c>
      <c r="V354" s="40">
        <v>0</v>
      </c>
      <c r="W354" s="40">
        <v>0</v>
      </c>
      <c r="X354" s="40">
        <v>0</v>
      </c>
    </row>
    <row r="355" spans="3:24" x14ac:dyDescent="0.2">
      <c r="C355" s="17" t="s">
        <v>307</v>
      </c>
      <c r="T355" s="17" t="s">
        <v>15</v>
      </c>
      <c r="U355" s="40">
        <v>0</v>
      </c>
      <c r="V355" s="40">
        <v>0</v>
      </c>
      <c r="W355" s="40">
        <v>0</v>
      </c>
      <c r="X355" s="40">
        <v>0</v>
      </c>
    </row>
    <row r="356" spans="3:24" x14ac:dyDescent="0.2">
      <c r="C356" s="17" t="s">
        <v>308</v>
      </c>
      <c r="T356" s="17" t="s">
        <v>15</v>
      </c>
      <c r="U356" s="40">
        <v>0</v>
      </c>
      <c r="V356" s="40">
        <v>0</v>
      </c>
      <c r="W356" s="40">
        <v>0</v>
      </c>
      <c r="X356" s="40">
        <v>0</v>
      </c>
    </row>
    <row r="357" spans="3:24" x14ac:dyDescent="0.2">
      <c r="C357" s="17" t="s">
        <v>309</v>
      </c>
      <c r="T357" s="17" t="s">
        <v>15</v>
      </c>
      <c r="U357" s="40">
        <v>0</v>
      </c>
      <c r="V357" s="40">
        <v>0</v>
      </c>
      <c r="W357" s="40">
        <v>0</v>
      </c>
      <c r="X357" s="40">
        <v>0</v>
      </c>
    </row>
    <row r="358" spans="3:24" x14ac:dyDescent="0.2">
      <c r="C358" s="17" t="s">
        <v>310</v>
      </c>
      <c r="T358" s="17" t="s">
        <v>15</v>
      </c>
      <c r="U358" s="40">
        <v>0</v>
      </c>
      <c r="V358" s="40">
        <v>0</v>
      </c>
      <c r="W358" s="40">
        <v>0</v>
      </c>
      <c r="X358" s="40">
        <v>0</v>
      </c>
    </row>
    <row r="359" spans="3:24" x14ac:dyDescent="0.2">
      <c r="C359" s="17" t="s">
        <v>311</v>
      </c>
      <c r="T359" s="17" t="s">
        <v>15</v>
      </c>
      <c r="U359" s="40">
        <v>0</v>
      </c>
      <c r="V359" s="40">
        <v>0</v>
      </c>
      <c r="W359" s="40">
        <v>0</v>
      </c>
      <c r="X359" s="40">
        <v>0</v>
      </c>
    </row>
    <row r="360" spans="3:24" x14ac:dyDescent="0.2">
      <c r="C360" s="17" t="s">
        <v>344</v>
      </c>
      <c r="T360" s="17" t="s">
        <v>15</v>
      </c>
      <c r="U360" s="40">
        <v>0</v>
      </c>
      <c r="V360" s="40">
        <v>0</v>
      </c>
      <c r="W360" s="40">
        <v>0</v>
      </c>
      <c r="X360" s="40">
        <v>0</v>
      </c>
    </row>
    <row r="361" spans="3:24" x14ac:dyDescent="0.2">
      <c r="C361" s="17" t="s">
        <v>345</v>
      </c>
      <c r="T361" s="17" t="s">
        <v>15</v>
      </c>
      <c r="U361" s="40">
        <v>0</v>
      </c>
      <c r="V361" s="40">
        <v>0</v>
      </c>
      <c r="W361" s="40">
        <v>0</v>
      </c>
      <c r="X361" s="40">
        <v>0</v>
      </c>
    </row>
    <row r="362" spans="3:24" x14ac:dyDescent="0.2">
      <c r="C362" s="17" t="s">
        <v>346</v>
      </c>
      <c r="T362" s="17" t="s">
        <v>15</v>
      </c>
      <c r="U362" s="40">
        <v>0</v>
      </c>
      <c r="V362" s="40">
        <v>0</v>
      </c>
      <c r="W362" s="40">
        <v>0</v>
      </c>
      <c r="X362" s="40">
        <v>0</v>
      </c>
    </row>
    <row r="363" spans="3:24" x14ac:dyDescent="0.2">
      <c r="C363" s="17" t="s">
        <v>347</v>
      </c>
      <c r="T363" s="17" t="s">
        <v>15</v>
      </c>
      <c r="U363" s="40">
        <v>0</v>
      </c>
      <c r="V363" s="40">
        <v>0</v>
      </c>
      <c r="W363" s="40">
        <v>0</v>
      </c>
      <c r="X363" s="40">
        <v>0</v>
      </c>
    </row>
    <row r="364" spans="3:24" x14ac:dyDescent="0.2">
      <c r="C364" s="17" t="s">
        <v>348</v>
      </c>
      <c r="T364" s="17" t="s">
        <v>15</v>
      </c>
      <c r="U364" s="40">
        <v>0</v>
      </c>
      <c r="V364" s="40">
        <v>0</v>
      </c>
      <c r="W364" s="40">
        <v>0</v>
      </c>
      <c r="X364" s="40">
        <v>0</v>
      </c>
    </row>
    <row r="365" spans="3:24" x14ac:dyDescent="0.2">
      <c r="C365" s="17" t="s">
        <v>349</v>
      </c>
      <c r="T365" s="17" t="s">
        <v>15</v>
      </c>
      <c r="U365" s="40">
        <v>0</v>
      </c>
      <c r="V365" s="40">
        <v>0</v>
      </c>
      <c r="W365" s="40">
        <v>0</v>
      </c>
      <c r="X365" s="40">
        <v>0</v>
      </c>
    </row>
    <row r="366" spans="3:24" x14ac:dyDescent="0.2">
      <c r="C366" s="17" t="s">
        <v>350</v>
      </c>
      <c r="T366" s="17" t="s">
        <v>15</v>
      </c>
      <c r="U366" s="40">
        <v>0</v>
      </c>
      <c r="V366" s="40">
        <v>0</v>
      </c>
      <c r="W366" s="40">
        <v>0</v>
      </c>
      <c r="X366" s="40">
        <v>0</v>
      </c>
    </row>
    <row r="367" spans="3:24" x14ac:dyDescent="0.2">
      <c r="C367" s="17" t="s">
        <v>312</v>
      </c>
      <c r="T367" s="17" t="s">
        <v>15</v>
      </c>
      <c r="U367" s="40">
        <v>0</v>
      </c>
      <c r="V367" s="40">
        <v>0</v>
      </c>
      <c r="W367" s="40">
        <v>0</v>
      </c>
      <c r="X367" s="40">
        <v>0</v>
      </c>
    </row>
    <row r="368" spans="3:24" x14ac:dyDescent="0.2">
      <c r="C368" s="17" t="s">
        <v>351</v>
      </c>
      <c r="T368" s="17" t="s">
        <v>15</v>
      </c>
      <c r="U368" s="40">
        <v>0</v>
      </c>
      <c r="V368" s="40">
        <v>0</v>
      </c>
      <c r="W368" s="40">
        <v>0</v>
      </c>
      <c r="X368" s="40">
        <v>0</v>
      </c>
    </row>
    <row r="369" spans="3:24" x14ac:dyDescent="0.2">
      <c r="C369" s="17" t="s">
        <v>352</v>
      </c>
      <c r="T369" s="17" t="s">
        <v>15</v>
      </c>
      <c r="U369" s="40">
        <v>0</v>
      </c>
      <c r="V369" s="40">
        <v>0</v>
      </c>
      <c r="W369" s="40">
        <v>0</v>
      </c>
      <c r="X369" s="40">
        <v>0</v>
      </c>
    </row>
    <row r="370" spans="3:24" x14ac:dyDescent="0.2">
      <c r="C370" s="17" t="s">
        <v>313</v>
      </c>
      <c r="T370" s="17" t="s">
        <v>15</v>
      </c>
      <c r="U370" s="40">
        <v>0</v>
      </c>
      <c r="V370" s="40">
        <v>0</v>
      </c>
      <c r="W370" s="40">
        <v>0</v>
      </c>
      <c r="X370" s="40">
        <v>0</v>
      </c>
    </row>
    <row r="371" spans="3:24" x14ac:dyDescent="0.2">
      <c r="C371" s="17" t="s">
        <v>353</v>
      </c>
      <c r="T371" s="17" t="s">
        <v>15</v>
      </c>
      <c r="U371" s="40">
        <v>0</v>
      </c>
      <c r="V371" s="40">
        <v>0</v>
      </c>
      <c r="W371" s="40">
        <v>0</v>
      </c>
      <c r="X371" s="40">
        <v>0</v>
      </c>
    </row>
    <row r="372" spans="3:24" x14ac:dyDescent="0.2">
      <c r="C372" s="17" t="s">
        <v>314</v>
      </c>
      <c r="T372" s="17" t="s">
        <v>15</v>
      </c>
      <c r="U372" s="40">
        <v>0</v>
      </c>
      <c r="V372" s="40">
        <v>0</v>
      </c>
      <c r="W372" s="40">
        <v>0</v>
      </c>
      <c r="X372" s="40">
        <v>0</v>
      </c>
    </row>
    <row r="373" spans="3:24" x14ac:dyDescent="0.2">
      <c r="C373" s="17" t="s">
        <v>354</v>
      </c>
      <c r="T373" s="17" t="s">
        <v>15</v>
      </c>
      <c r="U373" s="40">
        <v>0</v>
      </c>
      <c r="V373" s="40">
        <v>0</v>
      </c>
      <c r="W373" s="40">
        <v>0</v>
      </c>
      <c r="X373" s="40">
        <v>0</v>
      </c>
    </row>
    <row r="374" spans="3:24" x14ac:dyDescent="0.2">
      <c r="C374" s="17" t="s">
        <v>355</v>
      </c>
      <c r="T374" s="17" t="s">
        <v>15</v>
      </c>
      <c r="U374" s="40">
        <v>0</v>
      </c>
      <c r="V374" s="40">
        <v>0</v>
      </c>
      <c r="W374" s="40">
        <v>0</v>
      </c>
      <c r="X374" s="40">
        <v>0</v>
      </c>
    </row>
    <row r="375" spans="3:24" x14ac:dyDescent="0.2">
      <c r="C375" s="17" t="s">
        <v>356</v>
      </c>
      <c r="T375" s="17" t="s">
        <v>15</v>
      </c>
      <c r="U375" s="40">
        <v>0</v>
      </c>
      <c r="V375" s="40">
        <v>0</v>
      </c>
      <c r="W375" s="40">
        <v>0</v>
      </c>
      <c r="X375" s="40">
        <v>0</v>
      </c>
    </row>
    <row r="376" spans="3:24" x14ac:dyDescent="0.2">
      <c r="C376" s="17" t="s">
        <v>357</v>
      </c>
      <c r="T376" s="17" t="s">
        <v>15</v>
      </c>
      <c r="U376" s="40">
        <v>0</v>
      </c>
      <c r="V376" s="40">
        <v>0</v>
      </c>
      <c r="W376" s="40">
        <v>0</v>
      </c>
      <c r="X376" s="40">
        <v>0</v>
      </c>
    </row>
    <row r="377" spans="3:24" x14ac:dyDescent="0.2">
      <c r="C377" s="17" t="s">
        <v>315</v>
      </c>
      <c r="T377" s="17" t="s">
        <v>15</v>
      </c>
      <c r="U377" s="40">
        <v>0</v>
      </c>
      <c r="V377" s="40">
        <v>0</v>
      </c>
      <c r="W377" s="40">
        <v>0</v>
      </c>
      <c r="X377" s="40">
        <v>0</v>
      </c>
    </row>
    <row r="378" spans="3:24" x14ac:dyDescent="0.2">
      <c r="C378" s="17" t="s">
        <v>316</v>
      </c>
      <c r="T378" s="17" t="s">
        <v>15</v>
      </c>
      <c r="U378" s="40">
        <v>0</v>
      </c>
      <c r="V378" s="40">
        <v>0</v>
      </c>
      <c r="W378" s="40">
        <v>0</v>
      </c>
      <c r="X378" s="40">
        <v>0</v>
      </c>
    </row>
    <row r="379" spans="3:24" x14ac:dyDescent="0.2">
      <c r="C379" s="17" t="s">
        <v>317</v>
      </c>
      <c r="T379" s="17" t="s">
        <v>15</v>
      </c>
      <c r="U379" s="40">
        <v>0</v>
      </c>
      <c r="V379" s="40">
        <v>0</v>
      </c>
      <c r="W379" s="40">
        <v>0</v>
      </c>
      <c r="X379" s="40">
        <v>0</v>
      </c>
    </row>
    <row r="380" spans="3:24" x14ac:dyDescent="0.2">
      <c r="C380" s="17" t="s">
        <v>318</v>
      </c>
      <c r="T380" s="17" t="s">
        <v>15</v>
      </c>
      <c r="U380" s="40">
        <v>0</v>
      </c>
      <c r="V380" s="40">
        <v>0</v>
      </c>
      <c r="W380" s="40">
        <v>0</v>
      </c>
      <c r="X380" s="40">
        <v>0</v>
      </c>
    </row>
    <row r="381" spans="3:24" x14ac:dyDescent="0.2">
      <c r="C381" s="17" t="s">
        <v>319</v>
      </c>
      <c r="T381" s="17" t="s">
        <v>15</v>
      </c>
      <c r="U381" s="40">
        <v>0</v>
      </c>
      <c r="V381" s="40">
        <v>0</v>
      </c>
      <c r="W381" s="40">
        <v>0</v>
      </c>
      <c r="X381" s="40">
        <v>0</v>
      </c>
    </row>
  </sheetData>
  <mergeCells count="6">
    <mergeCell ref="Z3:AD3"/>
    <mergeCell ref="C3:C4"/>
    <mergeCell ref="F3:J3"/>
    <mergeCell ref="K3:O3"/>
    <mergeCell ref="P3:T3"/>
    <mergeCell ref="U3:Y3"/>
  </mergeCells>
  <conditionalFormatting sqref="I138:I209">
    <cfRule type="cellIs" dxfId="1" priority="1" operator="equal">
      <formula>2014</formula>
    </cfRule>
    <cfRule type="cellIs" dxfId="0" priority="2" operator="greaterThan">
      <formula>2014</formula>
    </cfRule>
  </conditionalFormatting>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C92CE-4B5C-42AA-84FB-9CC95BDBB227}">
  <dimension ref="C3:AI194"/>
  <sheetViews>
    <sheetView showGridLines="0" zoomScale="120" zoomScaleNormal="120" workbookViewId="0">
      <pane xSplit="3" ySplit="4" topLeftCell="K5" activePane="bottomRight" state="frozen"/>
      <selection pane="topRight" activeCell="D1" sqref="D1"/>
      <selection pane="bottomLeft" activeCell="A5" sqref="A5"/>
      <selection pane="bottomRight" activeCell="E148" sqref="E148"/>
    </sheetView>
  </sheetViews>
  <sheetFormatPr defaultColWidth="8.7109375" defaultRowHeight="12.75" outlineLevelCol="1" x14ac:dyDescent="0.2"/>
  <cols>
    <col min="1" max="2" width="2.5703125" style="17" customWidth="1"/>
    <col min="3" max="3" width="45.28515625" style="17" bestFit="1" customWidth="1"/>
    <col min="4" max="5" width="8.5703125" style="20" customWidth="1"/>
    <col min="6" max="9" width="8.5703125" style="20" hidden="1" customWidth="1" outlineLevel="1"/>
    <col min="10" max="10" width="8.5703125" style="20" customWidth="1" collapsed="1"/>
    <col min="11" max="11" width="9.85546875" style="20" customWidth="1" outlineLevel="1"/>
    <col min="12" max="12" width="10.140625" style="20" customWidth="1" outlineLevel="1"/>
    <col min="13" max="13" width="8.5703125" style="20" customWidth="1" outlineLevel="1"/>
    <col min="14" max="14" width="9.85546875" style="20" customWidth="1" outlineLevel="1"/>
    <col min="15" max="18" width="8.5703125" style="20" customWidth="1"/>
    <col min="19" max="33" width="10.5703125" style="20" customWidth="1"/>
    <col min="34" max="35" width="8.7109375" style="21"/>
    <col min="36" max="16384" width="8.7109375" style="17"/>
  </cols>
  <sheetData>
    <row r="3" spans="3:30" ht="15" customHeight="1" thickBot="1" x14ac:dyDescent="0.25">
      <c r="C3" s="237" t="s">
        <v>96</v>
      </c>
      <c r="D3" s="25" t="s">
        <v>99</v>
      </c>
      <c r="E3" s="25" t="s">
        <v>100</v>
      </c>
      <c r="F3" s="234" t="s">
        <v>101</v>
      </c>
      <c r="G3" s="235"/>
      <c r="H3" s="235"/>
      <c r="I3" s="235"/>
      <c r="J3" s="236"/>
      <c r="K3" s="234" t="s">
        <v>102</v>
      </c>
      <c r="L3" s="235"/>
      <c r="M3" s="235"/>
      <c r="N3" s="235"/>
      <c r="O3" s="236"/>
      <c r="P3" s="234" t="s">
        <v>103</v>
      </c>
      <c r="Q3" s="235"/>
      <c r="R3" s="235"/>
      <c r="S3" s="235"/>
      <c r="T3" s="236"/>
      <c r="U3" s="234" t="s">
        <v>104</v>
      </c>
      <c r="V3" s="235"/>
      <c r="W3" s="235"/>
      <c r="X3" s="235"/>
      <c r="Y3" s="236"/>
      <c r="Z3" s="234" t="s">
        <v>105</v>
      </c>
      <c r="AA3" s="235"/>
      <c r="AB3" s="235"/>
      <c r="AC3" s="235"/>
      <c r="AD3" s="236"/>
    </row>
    <row r="4" spans="3:30" ht="13.5" thickBot="1" x14ac:dyDescent="0.25">
      <c r="C4" s="236"/>
      <c r="D4" s="26" t="s">
        <v>97</v>
      </c>
      <c r="E4" s="26" t="s">
        <v>97</v>
      </c>
      <c r="F4" s="27">
        <v>44256</v>
      </c>
      <c r="G4" s="27">
        <v>44348</v>
      </c>
      <c r="H4" s="27">
        <v>44440</v>
      </c>
      <c r="I4" s="27">
        <v>44531</v>
      </c>
      <c r="J4" s="26" t="s">
        <v>97</v>
      </c>
      <c r="K4" s="27">
        <v>44621</v>
      </c>
      <c r="L4" s="27">
        <v>44713</v>
      </c>
      <c r="M4" s="27">
        <v>44805</v>
      </c>
      <c r="N4" s="27">
        <v>44896</v>
      </c>
      <c r="O4" s="26" t="s">
        <v>97</v>
      </c>
      <c r="P4" s="27">
        <v>44986</v>
      </c>
      <c r="Q4" s="27">
        <v>45078</v>
      </c>
      <c r="R4" s="27">
        <v>45170</v>
      </c>
      <c r="S4" s="27">
        <v>45261</v>
      </c>
      <c r="T4" s="26" t="s">
        <v>97</v>
      </c>
      <c r="U4" s="27">
        <v>45352</v>
      </c>
      <c r="V4" s="27">
        <v>45444</v>
      </c>
      <c r="W4" s="27">
        <v>45536</v>
      </c>
      <c r="X4" s="27">
        <v>45627</v>
      </c>
      <c r="Y4" s="26" t="s">
        <v>97</v>
      </c>
      <c r="Z4" s="27">
        <v>45717</v>
      </c>
      <c r="AA4" s="27">
        <v>45809</v>
      </c>
      <c r="AB4" s="27">
        <v>45901</v>
      </c>
      <c r="AC4" s="27">
        <v>45992</v>
      </c>
      <c r="AD4" s="26" t="s">
        <v>97</v>
      </c>
    </row>
    <row r="5" spans="3:30" ht="5.0999999999999996" customHeight="1" x14ac:dyDescent="0.2">
      <c r="C5" s="28"/>
      <c r="D5" s="28"/>
      <c r="E5" s="29"/>
      <c r="F5" s="29"/>
      <c r="G5" s="29"/>
      <c r="H5" s="29"/>
      <c r="I5" s="29"/>
      <c r="J5" s="29"/>
      <c r="K5" s="29"/>
      <c r="L5" s="29"/>
      <c r="M5" s="29"/>
      <c r="N5" s="29"/>
      <c r="O5" s="29"/>
      <c r="P5" s="29"/>
      <c r="Q5" s="29"/>
      <c r="R5" s="29"/>
      <c r="S5" s="29"/>
      <c r="T5" s="29"/>
      <c r="U5" s="29"/>
      <c r="V5" s="29"/>
      <c r="W5" s="29"/>
    </row>
    <row r="6" spans="3:30" x14ac:dyDescent="0.2">
      <c r="C6" s="30" t="s">
        <v>98</v>
      </c>
      <c r="D6" s="31"/>
      <c r="E6" s="31"/>
      <c r="F6" s="31"/>
      <c r="G6" s="31"/>
      <c r="H6" s="31"/>
      <c r="I6" s="31"/>
      <c r="J6" s="31"/>
      <c r="K6" s="31"/>
      <c r="L6" s="31"/>
      <c r="M6" s="31"/>
      <c r="N6" s="31"/>
      <c r="O6" s="31"/>
      <c r="P6" s="31"/>
      <c r="Q6" s="31"/>
      <c r="R6" s="31"/>
      <c r="S6" s="31"/>
      <c r="T6" s="31"/>
      <c r="U6" s="31"/>
      <c r="V6" s="31"/>
      <c r="W6" s="31"/>
      <c r="X6" s="31"/>
      <c r="Y6" s="31"/>
      <c r="Z6" s="31"/>
      <c r="AA6" s="31"/>
      <c r="AB6" s="31"/>
      <c r="AC6" s="31"/>
      <c r="AD6" s="31"/>
    </row>
    <row r="7" spans="3:30" x14ac:dyDescent="0.2">
      <c r="C7" s="17" t="s">
        <v>74</v>
      </c>
      <c r="D7" s="34">
        <v>127.73360700000001</v>
      </c>
      <c r="E7" s="34">
        <v>282.87033000000002</v>
      </c>
      <c r="F7" s="34">
        <v>47.973621000000001</v>
      </c>
      <c r="G7" s="34">
        <v>47.370821999999997</v>
      </c>
      <c r="H7" s="34">
        <v>38.674899000000003</v>
      </c>
      <c r="I7" s="34">
        <v>34.978883000000003</v>
      </c>
      <c r="J7" s="34">
        <v>168.99822499999999</v>
      </c>
      <c r="K7" s="34">
        <v>41.647584000000002</v>
      </c>
      <c r="L7" s="34">
        <v>49.874718000000001</v>
      </c>
      <c r="M7" s="34">
        <v>69.213246999999996</v>
      </c>
      <c r="N7" s="34">
        <v>110.23687200000001</v>
      </c>
      <c r="O7" s="34">
        <v>270.972421</v>
      </c>
      <c r="P7" s="34">
        <v>112.552594</v>
      </c>
      <c r="Q7" s="34">
        <v>119.807339</v>
      </c>
      <c r="R7" s="34">
        <v>89.066153</v>
      </c>
      <c r="S7" s="34">
        <v>91.670519999999996</v>
      </c>
      <c r="T7" s="34">
        <f>+SUM(P7:S7)</f>
        <v>413.09660600000001</v>
      </c>
      <c r="U7" s="34"/>
      <c r="V7" s="34"/>
      <c r="W7" s="34"/>
      <c r="X7" s="34"/>
      <c r="Y7" s="34"/>
      <c r="Z7" s="34"/>
      <c r="AA7" s="34"/>
      <c r="AB7" s="34"/>
      <c r="AC7" s="34"/>
      <c r="AD7" s="34"/>
    </row>
    <row r="8" spans="3:30" x14ac:dyDescent="0.2">
      <c r="C8" s="17" t="s">
        <v>75</v>
      </c>
      <c r="D8" s="34">
        <v>-1.6654070000000001</v>
      </c>
      <c r="E8" s="34">
        <v>-3.7570749999999999</v>
      </c>
      <c r="F8" s="34">
        <v>-0.61112699999999998</v>
      </c>
      <c r="G8" s="34">
        <v>-0.59718800000000005</v>
      </c>
      <c r="H8" s="34">
        <v>-0.51421099999999997</v>
      </c>
      <c r="I8" s="34">
        <v>-0.50629999999999997</v>
      </c>
      <c r="J8" s="34">
        <v>-2.2288259999999998</v>
      </c>
      <c r="K8" s="34">
        <v>-0.52365799999999996</v>
      </c>
      <c r="L8" s="34">
        <v>-0.75802199999999997</v>
      </c>
      <c r="M8" s="34">
        <v>-0.68317600000000001</v>
      </c>
      <c r="N8" s="34">
        <v>-1.4175629999999999</v>
      </c>
      <c r="O8" s="34">
        <v>-3.3824189999999996</v>
      </c>
      <c r="P8" s="34">
        <v>-1.8895040000000001</v>
      </c>
      <c r="Q8" s="34">
        <v>-1.8169090000000001</v>
      </c>
      <c r="R8" s="34">
        <v>-1.0247200000000001</v>
      </c>
      <c r="S8" s="34">
        <v>-1.0260260000000001</v>
      </c>
      <c r="T8" s="34">
        <f>+SUM(P8:S8)</f>
        <v>-5.7571590000000006</v>
      </c>
      <c r="U8" s="34"/>
      <c r="V8" s="34"/>
      <c r="W8" s="34"/>
      <c r="X8" s="34"/>
      <c r="Y8" s="34"/>
      <c r="Z8" s="34"/>
      <c r="AA8" s="34"/>
      <c r="AB8" s="34"/>
      <c r="AC8" s="34"/>
      <c r="AD8" s="34"/>
    </row>
    <row r="9" spans="3:30" x14ac:dyDescent="0.2">
      <c r="C9" s="17" t="s">
        <v>76</v>
      </c>
      <c r="D9" s="34">
        <v>-25.738665000000001</v>
      </c>
      <c r="E9" s="34">
        <v>-48.116343000000001</v>
      </c>
      <c r="F9" s="34">
        <v>-7.7890100000000002</v>
      </c>
      <c r="G9" s="34">
        <v>-12.295202</v>
      </c>
      <c r="H9" s="34">
        <v>-14.013662</v>
      </c>
      <c r="I9" s="34">
        <v>-10.908887999999999</v>
      </c>
      <c r="J9" s="34">
        <v>-45.006762000000002</v>
      </c>
      <c r="K9" s="34">
        <v>-14.687051</v>
      </c>
      <c r="L9" s="34">
        <v>-13.079694999999999</v>
      </c>
      <c r="M9" s="34">
        <v>-19.652555</v>
      </c>
      <c r="N9" s="34">
        <v>-26.666920000000001</v>
      </c>
      <c r="O9" s="34">
        <v>-74.086220999999995</v>
      </c>
      <c r="P9" s="34">
        <v>-22.214299</v>
      </c>
      <c r="Q9" s="34">
        <v>-26.765547999999999</v>
      </c>
      <c r="R9" s="34">
        <v>-28.359404000000001</v>
      </c>
      <c r="S9" s="34">
        <v>-32.219988000000001</v>
      </c>
      <c r="T9" s="34">
        <f>+SUM(P9:S9)</f>
        <v>-109.55923900000001</v>
      </c>
      <c r="U9" s="34"/>
      <c r="V9" s="34"/>
      <c r="W9" s="34"/>
      <c r="X9" s="34"/>
      <c r="Y9" s="34"/>
      <c r="Z9" s="34"/>
      <c r="AA9" s="34"/>
      <c r="AB9" s="34"/>
      <c r="AC9" s="34"/>
      <c r="AD9" s="34"/>
    </row>
    <row r="10" spans="3:30" x14ac:dyDescent="0.2">
      <c r="C10" s="32" t="s">
        <v>77</v>
      </c>
      <c r="D10" s="33">
        <f>SUM(D7:D9)</f>
        <v>100.32953500000001</v>
      </c>
      <c r="E10" s="33">
        <f t="shared" ref="E10:R10" si="0">SUM(E7:E9)</f>
        <v>230.99691200000004</v>
      </c>
      <c r="F10" s="33">
        <f t="shared" si="0"/>
        <v>39.573484000000001</v>
      </c>
      <c r="G10" s="33">
        <f t="shared" si="0"/>
        <v>34.478431999999998</v>
      </c>
      <c r="H10" s="33">
        <f t="shared" si="0"/>
        <v>24.147026</v>
      </c>
      <c r="I10" s="33">
        <f t="shared" si="0"/>
        <v>23.563695000000003</v>
      </c>
      <c r="J10" s="33">
        <f t="shared" si="0"/>
        <v>121.76263699999998</v>
      </c>
      <c r="K10" s="33">
        <f t="shared" si="0"/>
        <v>26.436875000000004</v>
      </c>
      <c r="L10" s="33">
        <f t="shared" si="0"/>
        <v>36.037001000000004</v>
      </c>
      <c r="M10" s="33">
        <f t="shared" si="0"/>
        <v>48.877515999999993</v>
      </c>
      <c r="N10" s="33">
        <f t="shared" si="0"/>
        <v>82.152388999999999</v>
      </c>
      <c r="O10" s="33">
        <f t="shared" si="0"/>
        <v>193.50378099999998</v>
      </c>
      <c r="P10" s="33">
        <f t="shared" si="0"/>
        <v>88.448791</v>
      </c>
      <c r="Q10" s="33">
        <f t="shared" si="0"/>
        <v>91.224882000000008</v>
      </c>
      <c r="R10" s="33">
        <f t="shared" si="0"/>
        <v>59.682029</v>
      </c>
      <c r="S10" s="33">
        <f>SUM(S7:S9)</f>
        <v>58.424505999999994</v>
      </c>
      <c r="T10" s="33">
        <f>SUM(T7:T9)</f>
        <v>297.78020800000002</v>
      </c>
      <c r="U10" s="33">
        <f>+(SUM(U165:U178)*U162*U161)/1000000</f>
        <v>80.712000000000003</v>
      </c>
      <c r="V10" s="33">
        <f>+(SUM(V165:V178)*V162*V161)/1000000</f>
        <v>67.731589109589024</v>
      </c>
      <c r="W10" s="33">
        <f>+(SUM(W165:W178)*W162*W161)/1000000</f>
        <v>64.486864109589021</v>
      </c>
      <c r="X10" s="33">
        <f>+(SUM(X165:X178)*X162*X161)/1000000</f>
        <v>95.320900109589019</v>
      </c>
      <c r="Y10" s="33">
        <f>+X10+W10+V10+U10</f>
        <v>308.25135332876704</v>
      </c>
      <c r="Z10" s="33">
        <f>+(SUM(Z165:Z178)*Z162*Z161)/1000000</f>
        <v>97.804846109589022</v>
      </c>
      <c r="AA10" s="33">
        <f>+(SUM(AA165:AA178)*AA162*AA161)/1000000</f>
        <v>89.459704109589026</v>
      </c>
      <c r="AB10" s="33">
        <f>+(SUM(AB165:AB178)*AB162*AB161)/1000000</f>
        <v>84.87690410958902</v>
      </c>
      <c r="AC10" s="33">
        <f>+(SUM(AC165:AC178)*AC162*AC161)/1000000</f>
        <v>123.47536610958903</v>
      </c>
      <c r="AD10" s="33">
        <f>+AC10+AB10+AA10+Z10</f>
        <v>395.61682043835606</v>
      </c>
    </row>
    <row r="11" spans="3:30" ht="5.0999999999999996" customHeight="1" x14ac:dyDescent="0.2">
      <c r="C11" s="18"/>
      <c r="D11" s="35"/>
      <c r="E11" s="35"/>
      <c r="F11" s="35"/>
      <c r="G11" s="35"/>
      <c r="H11" s="35"/>
      <c r="I11" s="35"/>
      <c r="J11" s="35"/>
      <c r="K11" s="35"/>
      <c r="L11" s="35"/>
      <c r="M11" s="35"/>
      <c r="N11" s="35"/>
      <c r="O11" s="35"/>
      <c r="P11" s="35"/>
      <c r="Q11" s="35"/>
      <c r="R11" s="35"/>
    </row>
    <row r="12" spans="3:30" x14ac:dyDescent="0.2">
      <c r="C12" s="17" t="s">
        <v>78</v>
      </c>
      <c r="D12" s="34">
        <v>-24.451930999999998</v>
      </c>
      <c r="E12" s="34">
        <v>-40.178632</v>
      </c>
      <c r="F12" s="34">
        <v>-10.10788</v>
      </c>
      <c r="G12" s="34">
        <v>-10.077378</v>
      </c>
      <c r="H12" s="34">
        <v>-10.488500999999999</v>
      </c>
      <c r="I12" s="34">
        <v>-10.022238</v>
      </c>
      <c r="J12" s="34">
        <v>-40.695996999999998</v>
      </c>
      <c r="K12" s="34">
        <v>-7.6667699999999996</v>
      </c>
      <c r="L12" s="34">
        <v>-9.3848970000000005</v>
      </c>
      <c r="M12" s="34">
        <v>-9.0684740000000001</v>
      </c>
      <c r="N12" s="34">
        <v>-9.6203190000000003</v>
      </c>
      <c r="O12" s="34">
        <v>-35.740460000000006</v>
      </c>
      <c r="P12" s="34">
        <v>-10.060793</v>
      </c>
      <c r="Q12" s="34">
        <v>-10.229072</v>
      </c>
      <c r="R12" s="34">
        <v>-10.883819000000001</v>
      </c>
      <c r="S12" s="34">
        <v>-10.568600999999999</v>
      </c>
      <c r="T12" s="34">
        <f>+SUM(P12:S12)</f>
        <v>-41.742285000000003</v>
      </c>
      <c r="U12" s="40">
        <f>-SUM(U181:U194)*U162/1000000</f>
        <v>-11.472300000000001</v>
      </c>
      <c r="V12" s="40">
        <f>-SUM(V181:V194)*V162/1000000</f>
        <v>-11.472300000000001</v>
      </c>
      <c r="W12" s="40">
        <f>-SUM(W181:W194)*W162/1000000</f>
        <v>-11.472300000000001</v>
      </c>
      <c r="X12" s="40">
        <f>-SUM(X181:X194)*X162/1000000</f>
        <v>-11.472300000000001</v>
      </c>
      <c r="Y12" s="131">
        <f>+SUM(U12:X12)</f>
        <v>-45.889200000000002</v>
      </c>
      <c r="Z12" s="40">
        <f>-SUM(Z181:Z194)*Z162/1000000</f>
        <v>-11.472300000000001</v>
      </c>
      <c r="AA12" s="40">
        <f>-SUM(AA181:AA194)*AA162/1000000</f>
        <v>-11.472300000000001</v>
      </c>
      <c r="AB12" s="40">
        <f>-SUM(AB181:AB194)*AB162/1000000</f>
        <v>-11.472300000000001</v>
      </c>
      <c r="AC12" s="40">
        <f>-SUM(AC181:AC194)*AC162/1000000</f>
        <v>-11.472300000000001</v>
      </c>
      <c r="AD12" s="131">
        <f>+SUM(Z12:AC12)</f>
        <v>-45.889200000000002</v>
      </c>
    </row>
    <row r="13" spans="3:30" x14ac:dyDescent="0.2">
      <c r="C13" s="17" t="s">
        <v>79</v>
      </c>
      <c r="D13" s="34">
        <v>-2.1863999999999999</v>
      </c>
      <c r="E13" s="34">
        <v>-3.4163999999999999</v>
      </c>
      <c r="F13" s="34">
        <v>-1.377</v>
      </c>
      <c r="G13" s="34">
        <v>-1.5407999999999999</v>
      </c>
      <c r="H13" s="34">
        <v>-1.2861</v>
      </c>
      <c r="I13" s="34">
        <v>-1.2213000000000001</v>
      </c>
      <c r="J13" s="34">
        <v>-5.4252000000000002</v>
      </c>
      <c r="K13" s="34">
        <v>-0.97289999999999999</v>
      </c>
      <c r="L13" s="34">
        <v>-1.0899000000000001</v>
      </c>
      <c r="M13" s="34">
        <v>-1.1592</v>
      </c>
      <c r="N13" s="34">
        <v>-1.1592</v>
      </c>
      <c r="O13" s="34">
        <v>-4.3812000000000006</v>
      </c>
      <c r="P13" s="34">
        <v>-1.1339999999999999</v>
      </c>
      <c r="Q13" s="34">
        <v>-1.1466000000000001</v>
      </c>
      <c r="R13" s="34">
        <v>-1.1592</v>
      </c>
      <c r="S13" s="34">
        <v>-1.1592</v>
      </c>
      <c r="T13" s="34">
        <f>+SUM(P13:S13)</f>
        <v>-4.5990000000000002</v>
      </c>
      <c r="U13" s="40">
        <v>0</v>
      </c>
      <c r="V13" s="40">
        <v>0</v>
      </c>
      <c r="W13" s="40">
        <v>0</v>
      </c>
      <c r="X13" s="40">
        <v>0</v>
      </c>
      <c r="Y13" s="131">
        <f>+SUM(U13:X13)</f>
        <v>0</v>
      </c>
      <c r="Z13" s="40">
        <v>0</v>
      </c>
      <c r="AA13" s="40">
        <v>0</v>
      </c>
      <c r="AB13" s="40">
        <v>0</v>
      </c>
      <c r="AC13" s="40">
        <v>0</v>
      </c>
      <c r="AD13" s="131">
        <f>+SUM(Z13:AC13)</f>
        <v>0</v>
      </c>
    </row>
    <row r="14" spans="3:30" x14ac:dyDescent="0.2">
      <c r="C14" s="17" t="s">
        <v>80</v>
      </c>
      <c r="D14" s="34">
        <v>-3.3290280000000001</v>
      </c>
      <c r="E14" s="34">
        <v>-4.4214830000000003</v>
      </c>
      <c r="F14" s="34">
        <v>-2.9182359999999998</v>
      </c>
      <c r="G14" s="34">
        <v>-0.63081900000000002</v>
      </c>
      <c r="H14" s="34">
        <v>-1.0789569999999999</v>
      </c>
      <c r="I14" s="34">
        <v>-0.46692800000000001</v>
      </c>
      <c r="J14" s="34">
        <v>-5.0949400000000002</v>
      </c>
      <c r="K14" s="34">
        <v>-1.5681210000000001</v>
      </c>
      <c r="L14" s="34">
        <v>-0.87675599999999998</v>
      </c>
      <c r="M14" s="34">
        <v>-1.2640020000000001</v>
      </c>
      <c r="N14" s="34">
        <v>-1.5876440000000001</v>
      </c>
      <c r="O14" s="34">
        <v>-5.2965230000000005</v>
      </c>
      <c r="P14" s="34">
        <v>-2.8586070000000001</v>
      </c>
      <c r="Q14" s="34">
        <v>-2.4022250000000001</v>
      </c>
      <c r="R14" s="34">
        <v>-2.1659130000000002</v>
      </c>
      <c r="S14" s="34">
        <v>-2.5066280000000001</v>
      </c>
      <c r="T14" s="34">
        <f>+SUM(P14:S14)</f>
        <v>-9.9333729999999996</v>
      </c>
      <c r="U14" s="130">
        <f>+$S$14</f>
        <v>-2.5066280000000001</v>
      </c>
      <c r="V14" s="130">
        <f>+$S$14</f>
        <v>-2.5066280000000001</v>
      </c>
      <c r="W14" s="130">
        <f>+$S$14</f>
        <v>-2.5066280000000001</v>
      </c>
      <c r="X14" s="130">
        <f>+$S$14</f>
        <v>-2.5066280000000001</v>
      </c>
      <c r="Y14" s="131">
        <f>+SUM(U14:X14)</f>
        <v>-10.026512</v>
      </c>
      <c r="Z14" s="130">
        <f>+$S$14</f>
        <v>-2.5066280000000001</v>
      </c>
      <c r="AA14" s="130">
        <f>+$S$14</f>
        <v>-2.5066280000000001</v>
      </c>
      <c r="AB14" s="130">
        <f>+$S$14</f>
        <v>-2.5066280000000001</v>
      </c>
      <c r="AC14" s="130">
        <f>+$S$14</f>
        <v>-2.5066280000000001</v>
      </c>
      <c r="AD14" s="131">
        <f>+SUM(Z14:AC14)</f>
        <v>-10.026512</v>
      </c>
    </row>
    <row r="15" spans="3:30" x14ac:dyDescent="0.2">
      <c r="C15" s="17" t="s">
        <v>81</v>
      </c>
      <c r="D15" s="34">
        <v>0</v>
      </c>
      <c r="E15" s="34">
        <v>0</v>
      </c>
      <c r="F15" s="34">
        <v>0</v>
      </c>
      <c r="G15" s="34">
        <v>0</v>
      </c>
      <c r="H15" s="34">
        <v>0</v>
      </c>
      <c r="I15" s="34">
        <v>0</v>
      </c>
      <c r="J15" s="34">
        <v>0</v>
      </c>
      <c r="K15" s="34">
        <v>0</v>
      </c>
      <c r="L15" s="34">
        <v>0</v>
      </c>
      <c r="M15" s="34">
        <v>0</v>
      </c>
      <c r="N15" s="34">
        <v>0</v>
      </c>
      <c r="O15" s="34">
        <v>0</v>
      </c>
      <c r="P15" s="34">
        <v>0</v>
      </c>
      <c r="Q15" s="34">
        <v>0</v>
      </c>
      <c r="R15" s="34">
        <v>0</v>
      </c>
      <c r="S15" s="34">
        <v>0</v>
      </c>
      <c r="T15" s="34">
        <f>+SUM(P15:S15)</f>
        <v>0</v>
      </c>
      <c r="U15" s="40"/>
      <c r="V15" s="40"/>
      <c r="W15" s="40"/>
      <c r="X15" s="40"/>
      <c r="Y15" s="40"/>
      <c r="Z15" s="40"/>
      <c r="AA15" s="40"/>
      <c r="AB15" s="40"/>
      <c r="AC15" s="40"/>
      <c r="AD15" s="40"/>
    </row>
    <row r="16" spans="3:30" x14ac:dyDescent="0.2">
      <c r="C16" s="32" t="s">
        <v>82</v>
      </c>
      <c r="D16" s="33">
        <f>+D10+SUM(D12:D15)</f>
        <v>70.362176000000005</v>
      </c>
      <c r="E16" s="33">
        <f t="shared" ref="E16:R16" si="1">+E10+SUM(E12:E15)</f>
        <v>182.98039700000004</v>
      </c>
      <c r="F16" s="33">
        <f t="shared" si="1"/>
        <v>25.170368</v>
      </c>
      <c r="G16" s="33">
        <f t="shared" si="1"/>
        <v>22.229434999999995</v>
      </c>
      <c r="H16" s="33">
        <f t="shared" si="1"/>
        <v>11.293468000000001</v>
      </c>
      <c r="I16" s="33">
        <f t="shared" si="1"/>
        <v>11.853229000000004</v>
      </c>
      <c r="J16" s="33">
        <f t="shared" si="1"/>
        <v>70.54649999999998</v>
      </c>
      <c r="K16" s="33">
        <f t="shared" si="1"/>
        <v>16.229084000000007</v>
      </c>
      <c r="L16" s="33">
        <f t="shared" si="1"/>
        <v>24.685448000000001</v>
      </c>
      <c r="M16" s="33">
        <f t="shared" si="1"/>
        <v>37.385839999999995</v>
      </c>
      <c r="N16" s="33">
        <f t="shared" si="1"/>
        <v>69.785225999999994</v>
      </c>
      <c r="O16" s="33">
        <f t="shared" si="1"/>
        <v>148.08559799999998</v>
      </c>
      <c r="P16" s="33">
        <f t="shared" si="1"/>
        <v>74.395391000000004</v>
      </c>
      <c r="Q16" s="33">
        <f t="shared" si="1"/>
        <v>77.446985000000012</v>
      </c>
      <c r="R16" s="33">
        <f t="shared" si="1"/>
        <v>45.473096999999996</v>
      </c>
      <c r="S16" s="33">
        <f t="shared" ref="S16:AD16" si="2">+S10+SUM(S12:S15)</f>
        <v>44.190076999999995</v>
      </c>
      <c r="T16" s="33">
        <f t="shared" si="2"/>
        <v>241.50555000000003</v>
      </c>
      <c r="U16" s="33">
        <f t="shared" si="2"/>
        <v>66.733072000000007</v>
      </c>
      <c r="V16" s="33">
        <f t="shared" si="2"/>
        <v>53.752661109589027</v>
      </c>
      <c r="W16" s="33">
        <f t="shared" si="2"/>
        <v>50.507936109589025</v>
      </c>
      <c r="X16" s="33">
        <f t="shared" si="2"/>
        <v>81.341972109589022</v>
      </c>
      <c r="Y16" s="33">
        <f t="shared" si="2"/>
        <v>252.33564132876705</v>
      </c>
      <c r="Z16" s="33">
        <f t="shared" si="2"/>
        <v>83.825918109589026</v>
      </c>
      <c r="AA16" s="33">
        <f t="shared" si="2"/>
        <v>75.48077610958903</v>
      </c>
      <c r="AB16" s="33">
        <f t="shared" si="2"/>
        <v>70.897976109589024</v>
      </c>
      <c r="AC16" s="33">
        <f t="shared" si="2"/>
        <v>109.49643810958904</v>
      </c>
      <c r="AD16" s="33">
        <f t="shared" si="2"/>
        <v>339.70110843835607</v>
      </c>
    </row>
    <row r="17" spans="3:35" ht="5.0999999999999996" customHeight="1" x14ac:dyDescent="0.2">
      <c r="C17" s="18"/>
      <c r="D17" s="35"/>
      <c r="E17" s="35"/>
      <c r="F17" s="35"/>
      <c r="G17" s="35"/>
      <c r="H17" s="35"/>
      <c r="I17" s="35"/>
      <c r="J17" s="35"/>
      <c r="K17" s="35"/>
      <c r="L17" s="35"/>
      <c r="M17" s="35"/>
      <c r="N17" s="35"/>
      <c r="O17" s="35"/>
      <c r="P17" s="35"/>
      <c r="Q17" s="35"/>
      <c r="R17" s="35"/>
    </row>
    <row r="18" spans="3:35" s="19" customFormat="1" x14ac:dyDescent="0.2">
      <c r="C18" s="19" t="s">
        <v>83</v>
      </c>
      <c r="D18" s="36">
        <v>-24.585920000000002</v>
      </c>
      <c r="E18" s="36">
        <v>-41.619641000000001</v>
      </c>
      <c r="F18" s="36">
        <v>-11.18913</v>
      </c>
      <c r="G18" s="36">
        <v>-10.824809999999999</v>
      </c>
      <c r="H18" s="36">
        <v>-8.2856719999999999</v>
      </c>
      <c r="I18" s="36">
        <v>-8.3666540000000005</v>
      </c>
      <c r="J18" s="36">
        <v>-38.666265999999993</v>
      </c>
      <c r="K18" s="36">
        <v>-8.237584</v>
      </c>
      <c r="L18" s="36">
        <v>-10.017306</v>
      </c>
      <c r="M18" s="36">
        <v>-9.5417190000000005</v>
      </c>
      <c r="N18" s="36">
        <v>-10.166315000000001</v>
      </c>
      <c r="O18" s="36">
        <v>-37.962924000000001</v>
      </c>
      <c r="P18" s="36">
        <v>-9.9858370000000001</v>
      </c>
      <c r="Q18" s="36">
        <v>-10.072302000000001</v>
      </c>
      <c r="R18" s="36">
        <v>-10.047423999999999</v>
      </c>
      <c r="S18" s="34">
        <v>-10.277065</v>
      </c>
      <c r="T18" s="34">
        <f t="shared" ref="T18:T26" si="3">+SUM(P18:S18)</f>
        <v>-40.382627999999997</v>
      </c>
      <c r="U18" s="130">
        <f>+$S$18</f>
        <v>-10.277065</v>
      </c>
      <c r="V18" s="130">
        <f t="shared" ref="V18:AC18" si="4">+$S$18</f>
        <v>-10.277065</v>
      </c>
      <c r="W18" s="130">
        <f t="shared" si="4"/>
        <v>-10.277065</v>
      </c>
      <c r="X18" s="130">
        <f t="shared" si="4"/>
        <v>-10.277065</v>
      </c>
      <c r="Y18" s="131">
        <f t="shared" ref="Y18:Y26" si="5">+SUM(U18:X18)</f>
        <v>-41.108260000000001</v>
      </c>
      <c r="Z18" s="130">
        <f t="shared" si="4"/>
        <v>-10.277065</v>
      </c>
      <c r="AA18" s="130">
        <f t="shared" si="4"/>
        <v>-10.277065</v>
      </c>
      <c r="AB18" s="130">
        <f t="shared" si="4"/>
        <v>-10.277065</v>
      </c>
      <c r="AC18" s="130">
        <f t="shared" si="4"/>
        <v>-10.277065</v>
      </c>
      <c r="AD18" s="131">
        <f t="shared" ref="AD18:AD26" si="6">+SUM(Z18:AC18)</f>
        <v>-41.108260000000001</v>
      </c>
      <c r="AE18" s="22"/>
      <c r="AF18" s="22"/>
      <c r="AG18" s="22"/>
      <c r="AH18" s="23"/>
      <c r="AI18" s="23"/>
    </row>
    <row r="19" spans="3:35" x14ac:dyDescent="0.2">
      <c r="C19" s="17" t="s">
        <v>84</v>
      </c>
      <c r="D19" s="34">
        <v>0</v>
      </c>
      <c r="E19" s="34">
        <v>0</v>
      </c>
      <c r="F19" s="34">
        <v>0</v>
      </c>
      <c r="G19" s="34">
        <v>-11.551805999999999</v>
      </c>
      <c r="H19" s="34">
        <v>-0.109144</v>
      </c>
      <c r="I19" s="34">
        <v>11.804745</v>
      </c>
      <c r="J19" s="34">
        <v>0.14379500000000078</v>
      </c>
      <c r="K19" s="34">
        <v>0</v>
      </c>
      <c r="L19" s="34">
        <v>0</v>
      </c>
      <c r="M19" s="34">
        <v>0</v>
      </c>
      <c r="N19" s="34">
        <v>0</v>
      </c>
      <c r="O19" s="34">
        <v>0</v>
      </c>
      <c r="P19" s="34">
        <v>0</v>
      </c>
      <c r="Q19" s="34">
        <v>0</v>
      </c>
      <c r="R19" s="34">
        <v>0</v>
      </c>
      <c r="S19" s="34">
        <v>0</v>
      </c>
      <c r="T19" s="34">
        <f t="shared" si="3"/>
        <v>0</v>
      </c>
      <c r="U19" s="40">
        <v>0</v>
      </c>
      <c r="V19" s="40">
        <v>0</v>
      </c>
      <c r="W19" s="40">
        <v>0</v>
      </c>
      <c r="X19" s="40">
        <v>0</v>
      </c>
      <c r="Y19" s="131">
        <f t="shared" si="5"/>
        <v>0</v>
      </c>
      <c r="Z19" s="40">
        <v>0</v>
      </c>
      <c r="AA19" s="40">
        <v>0</v>
      </c>
      <c r="AB19" s="40">
        <v>0</v>
      </c>
      <c r="AC19" s="40">
        <v>0</v>
      </c>
      <c r="AD19" s="131">
        <f t="shared" si="6"/>
        <v>0</v>
      </c>
    </row>
    <row r="20" spans="3:35" x14ac:dyDescent="0.2">
      <c r="C20" s="17" t="s">
        <v>85</v>
      </c>
      <c r="D20" s="34">
        <v>0.13002</v>
      </c>
      <c r="E20" s="34">
        <v>5.0499000000000002E-2</v>
      </c>
      <c r="F20" s="34">
        <v>1.431E-3</v>
      </c>
      <c r="G20" s="34">
        <v>1.1329999999999999E-3</v>
      </c>
      <c r="H20" s="34">
        <v>5.9100000000000005E-4</v>
      </c>
      <c r="I20" s="34">
        <v>3.1500000000000001E-4</v>
      </c>
      <c r="J20" s="34">
        <v>3.47E-3</v>
      </c>
      <c r="K20" s="34">
        <v>2.9100000000000003E-4</v>
      </c>
      <c r="L20" s="34">
        <v>8.3835000000000007E-2</v>
      </c>
      <c r="M20" s="34">
        <v>0.279335</v>
      </c>
      <c r="N20" s="34">
        <v>0.35806700000000002</v>
      </c>
      <c r="O20" s="34">
        <v>0.72152800000000006</v>
      </c>
      <c r="P20" s="34">
        <v>1.055993</v>
      </c>
      <c r="Q20" s="34">
        <v>1.1222650000000001</v>
      </c>
      <c r="R20" s="34">
        <v>1.0197700000000001</v>
      </c>
      <c r="S20" s="34">
        <v>0.90653600000000001</v>
      </c>
      <c r="T20" s="34">
        <f t="shared" si="3"/>
        <v>4.1045639999999999</v>
      </c>
      <c r="U20" s="130">
        <f>+$S$20</f>
        <v>0.90653600000000001</v>
      </c>
      <c r="V20" s="130">
        <f>+$S$20</f>
        <v>0.90653600000000001</v>
      </c>
      <c r="W20" s="130">
        <f>+$S$20</f>
        <v>0.90653600000000001</v>
      </c>
      <c r="X20" s="130">
        <f>+$S$20</f>
        <v>0.90653600000000001</v>
      </c>
      <c r="Y20" s="131">
        <f t="shared" si="5"/>
        <v>3.626144</v>
      </c>
      <c r="Z20" s="130">
        <f>+$S$20</f>
        <v>0.90653600000000001</v>
      </c>
      <c r="AA20" s="130">
        <f>+$S$20</f>
        <v>0.90653600000000001</v>
      </c>
      <c r="AB20" s="130">
        <f>+$S$20</f>
        <v>0.90653600000000001</v>
      </c>
      <c r="AC20" s="130">
        <f>+$S$20</f>
        <v>0.90653600000000001</v>
      </c>
      <c r="AD20" s="131">
        <f t="shared" si="6"/>
        <v>3.626144</v>
      </c>
    </row>
    <row r="21" spans="3:35" x14ac:dyDescent="0.2">
      <c r="C21" s="17" t="s">
        <v>86</v>
      </c>
      <c r="D21" s="34">
        <v>-0.49627399999999999</v>
      </c>
      <c r="E21" s="34">
        <v>-1.354921</v>
      </c>
      <c r="F21" s="34">
        <v>0</v>
      </c>
      <c r="G21" s="34">
        <v>0</v>
      </c>
      <c r="H21" s="34">
        <v>0</v>
      </c>
      <c r="I21" s="34">
        <v>0</v>
      </c>
      <c r="J21" s="34">
        <v>0</v>
      </c>
      <c r="K21" s="34">
        <v>0</v>
      </c>
      <c r="L21" s="34">
        <v>0</v>
      </c>
      <c r="M21" s="34">
        <v>0</v>
      </c>
      <c r="N21" s="34">
        <v>0</v>
      </c>
      <c r="O21" s="34">
        <v>0</v>
      </c>
      <c r="P21" s="34">
        <v>0</v>
      </c>
      <c r="Q21" s="34">
        <v>0</v>
      </c>
      <c r="R21" s="34">
        <v>0</v>
      </c>
      <c r="S21" s="34">
        <v>0</v>
      </c>
      <c r="T21" s="34">
        <f t="shared" si="3"/>
        <v>0</v>
      </c>
      <c r="U21" s="40">
        <v>0</v>
      </c>
      <c r="V21" s="40">
        <v>0</v>
      </c>
      <c r="W21" s="40">
        <v>0</v>
      </c>
      <c r="X21" s="40">
        <v>0</v>
      </c>
      <c r="Y21" s="131">
        <f t="shared" si="5"/>
        <v>0</v>
      </c>
      <c r="Z21" s="40">
        <v>0</v>
      </c>
      <c r="AA21" s="40">
        <v>0</v>
      </c>
      <c r="AB21" s="40">
        <v>0</v>
      </c>
      <c r="AC21" s="40">
        <v>0</v>
      </c>
      <c r="AD21" s="131">
        <f t="shared" si="6"/>
        <v>0</v>
      </c>
    </row>
    <row r="22" spans="3:35" x14ac:dyDescent="0.2">
      <c r="C22" s="17" t="s">
        <v>87</v>
      </c>
      <c r="D22" s="34">
        <v>-34.010460000000002</v>
      </c>
      <c r="E22" s="34">
        <v>-37.649743000000001</v>
      </c>
      <c r="F22" s="34">
        <v>-7.9670740000000002</v>
      </c>
      <c r="G22" s="34">
        <v>-7.8327489999999997</v>
      </c>
      <c r="H22" s="34">
        <v>-7.385345</v>
      </c>
      <c r="I22" s="34">
        <v>-13.280255</v>
      </c>
      <c r="J22" s="34">
        <v>-36.465423000000001</v>
      </c>
      <c r="K22" s="34">
        <v>-5.9386799999999997</v>
      </c>
      <c r="L22" s="34">
        <v>-8.9734660000000002</v>
      </c>
      <c r="M22" s="34">
        <v>-10.059081000000001</v>
      </c>
      <c r="N22" s="34">
        <v>-13.110747999999999</v>
      </c>
      <c r="O22" s="34">
        <v>-38.081975</v>
      </c>
      <c r="P22" s="34">
        <v>-14.682095</v>
      </c>
      <c r="Q22" s="34">
        <v>-15.751756</v>
      </c>
      <c r="R22" s="34">
        <v>-15.649925</v>
      </c>
      <c r="S22" s="34">
        <v>-15.09529</v>
      </c>
      <c r="T22" s="34">
        <f t="shared" si="3"/>
        <v>-61.179065999999999</v>
      </c>
      <c r="U22" s="40">
        <f>-U117*U120</f>
        <v>-13.937197484874119</v>
      </c>
      <c r="V22" s="40">
        <f>-V117*V120</f>
        <v>-13.498855354973378</v>
      </c>
      <c r="W22" s="40">
        <f>-W117*W120</f>
        <v>-13.06051322507264</v>
      </c>
      <c r="X22" s="40">
        <f>-X117*X120</f>
        <v>-12.622171095171899</v>
      </c>
      <c r="Y22" s="131">
        <f t="shared" si="5"/>
        <v>-53.118737160092039</v>
      </c>
      <c r="Z22" s="40">
        <f>-Z117*Z120</f>
        <v>-12.183828965271157</v>
      </c>
      <c r="AA22" s="40">
        <f>-AA117*AA120</f>
        <v>-11.745486835370416</v>
      </c>
      <c r="AB22" s="40">
        <f>-AB117*AB120</f>
        <v>-11.307144705469675</v>
      </c>
      <c r="AC22" s="40">
        <f>-AC117*AC120</f>
        <v>-10.868802575568933</v>
      </c>
      <c r="AD22" s="131">
        <f t="shared" si="6"/>
        <v>-46.105263081680185</v>
      </c>
    </row>
    <row r="23" spans="3:35" x14ac:dyDescent="0.2">
      <c r="C23" s="17" t="s">
        <v>88</v>
      </c>
      <c r="D23" s="34">
        <v>0</v>
      </c>
      <c r="E23" s="34">
        <v>-1.116166</v>
      </c>
      <c r="F23" s="34">
        <v>1.5093859999999999</v>
      </c>
      <c r="G23" s="34">
        <v>-7.6183000000000001E-2</v>
      </c>
      <c r="H23" s="34">
        <v>-2.6696000000000001E-2</v>
      </c>
      <c r="I23" s="34">
        <v>2.750426</v>
      </c>
      <c r="J23" s="34">
        <v>4.1569329999999995</v>
      </c>
      <c r="K23" s="34">
        <v>7.3528739999999999</v>
      </c>
      <c r="L23" s="34">
        <v>-0.58656900000000001</v>
      </c>
      <c r="M23" s="34">
        <v>-6.5493329999999998</v>
      </c>
      <c r="N23" s="34">
        <v>-0.171012</v>
      </c>
      <c r="O23" s="34">
        <v>4.5960000000000167E-2</v>
      </c>
      <c r="P23" s="34">
        <v>0.21451000000000001</v>
      </c>
      <c r="Q23" s="34">
        <v>-7.6147000000000006E-2</v>
      </c>
      <c r="R23" s="34">
        <v>-0.76660399999999995</v>
      </c>
      <c r="S23" s="34">
        <v>0.85761399999999999</v>
      </c>
      <c r="T23" s="34">
        <f t="shared" si="3"/>
        <v>0.22937300000000005</v>
      </c>
      <c r="U23" s="40">
        <v>0</v>
      </c>
      <c r="V23" s="40">
        <v>0</v>
      </c>
      <c r="W23" s="40">
        <v>0</v>
      </c>
      <c r="X23" s="40">
        <v>0</v>
      </c>
      <c r="Y23" s="131">
        <f t="shared" si="5"/>
        <v>0</v>
      </c>
      <c r="Z23" s="40">
        <v>0</v>
      </c>
      <c r="AA23" s="40">
        <v>0</v>
      </c>
      <c r="AB23" s="40">
        <v>0</v>
      </c>
      <c r="AC23" s="40">
        <v>0</v>
      </c>
      <c r="AD23" s="131">
        <f t="shared" si="6"/>
        <v>0</v>
      </c>
    </row>
    <row r="24" spans="3:35" x14ac:dyDescent="0.2">
      <c r="C24" s="17" t="s">
        <v>89</v>
      </c>
      <c r="D24" s="34">
        <v>0</v>
      </c>
      <c r="E24" s="34">
        <v>-2.3769999999999999E-2</v>
      </c>
      <c r="F24" s="34">
        <v>-6.7756999999999998E-2</v>
      </c>
      <c r="G24" s="34">
        <v>-0.12352</v>
      </c>
      <c r="H24" s="34">
        <v>-0.16522899999999999</v>
      </c>
      <c r="I24" s="34">
        <v>-0.20241000000000001</v>
      </c>
      <c r="J24" s="34">
        <v>-0.55891599999999997</v>
      </c>
      <c r="K24" s="34">
        <v>-0.156134</v>
      </c>
      <c r="L24" s="34">
        <v>3.1196299999999999</v>
      </c>
      <c r="M24" s="34">
        <v>7.733117</v>
      </c>
      <c r="N24" s="34">
        <v>0.73986799999999997</v>
      </c>
      <c r="O24" s="34">
        <v>11.436480999999999</v>
      </c>
      <c r="P24" s="34">
        <v>5.0180000000000002E-2</v>
      </c>
      <c r="Q24" s="34">
        <v>0.154775</v>
      </c>
      <c r="R24" s="34">
        <v>0.120046</v>
      </c>
      <c r="S24" s="34">
        <v>-2.4739000000000001E-2</v>
      </c>
      <c r="T24" s="34">
        <f t="shared" si="3"/>
        <v>0.30026199999999997</v>
      </c>
      <c r="U24" s="40">
        <v>0</v>
      </c>
      <c r="V24" s="40">
        <v>0</v>
      </c>
      <c r="W24" s="40">
        <v>0</v>
      </c>
      <c r="X24" s="40">
        <v>0</v>
      </c>
      <c r="Y24" s="131">
        <f t="shared" si="5"/>
        <v>0</v>
      </c>
      <c r="Z24" s="40">
        <v>0</v>
      </c>
      <c r="AA24" s="40">
        <v>0</v>
      </c>
      <c r="AB24" s="40">
        <v>0</v>
      </c>
      <c r="AC24" s="40">
        <v>0</v>
      </c>
      <c r="AD24" s="131">
        <f t="shared" si="6"/>
        <v>0</v>
      </c>
    </row>
    <row r="25" spans="3:35" x14ac:dyDescent="0.2">
      <c r="C25" s="17" t="s">
        <v>90</v>
      </c>
      <c r="D25" s="34">
        <v>-1.5186E-2</v>
      </c>
      <c r="E25" s="34">
        <v>5.2287E-2</v>
      </c>
      <c r="F25" s="34">
        <v>-0.115346</v>
      </c>
      <c r="G25" s="34">
        <v>9.9186999999999997E-2</v>
      </c>
      <c r="H25" s="34">
        <v>-2.9815999999999999E-2</v>
      </c>
      <c r="I25" s="34">
        <v>-1.6687E-2</v>
      </c>
      <c r="J25" s="34">
        <v>-6.2661999999999995E-2</v>
      </c>
      <c r="K25" s="34">
        <v>3.1947000000000003E-2</v>
      </c>
      <c r="L25" s="34">
        <v>-0.36918600000000001</v>
      </c>
      <c r="M25" s="34">
        <v>-0.339754</v>
      </c>
      <c r="N25" s="34">
        <v>0.99231999999999998</v>
      </c>
      <c r="O25" s="34">
        <v>0.31532700000000002</v>
      </c>
      <c r="P25" s="34">
        <v>0.55561400000000005</v>
      </c>
      <c r="Q25" s="34">
        <v>0.113833</v>
      </c>
      <c r="R25" s="34">
        <v>-0.69977900000000004</v>
      </c>
      <c r="S25" s="34">
        <v>0.70330099999999995</v>
      </c>
      <c r="T25" s="34">
        <f t="shared" si="3"/>
        <v>0.67296899999999993</v>
      </c>
      <c r="U25" s="40">
        <v>0</v>
      </c>
      <c r="V25" s="40">
        <v>0</v>
      </c>
      <c r="W25" s="40">
        <v>0</v>
      </c>
      <c r="X25" s="40">
        <v>0</v>
      </c>
      <c r="Y25" s="131">
        <f t="shared" si="5"/>
        <v>0</v>
      </c>
      <c r="Z25" s="40">
        <v>0</v>
      </c>
      <c r="AA25" s="40">
        <v>0</v>
      </c>
      <c r="AB25" s="40">
        <v>0</v>
      </c>
      <c r="AC25" s="40">
        <v>0</v>
      </c>
      <c r="AD25" s="131">
        <f t="shared" si="6"/>
        <v>0</v>
      </c>
    </row>
    <row r="26" spans="3:35" x14ac:dyDescent="0.2">
      <c r="C26" s="17" t="s">
        <v>91</v>
      </c>
      <c r="D26" s="34">
        <v>0</v>
      </c>
      <c r="E26" s="34">
        <v>0</v>
      </c>
      <c r="F26" s="34">
        <v>0</v>
      </c>
      <c r="G26" s="34">
        <v>0</v>
      </c>
      <c r="H26" s="34">
        <v>0</v>
      </c>
      <c r="I26" s="34">
        <v>0</v>
      </c>
      <c r="J26" s="34">
        <v>0</v>
      </c>
      <c r="K26" s="34">
        <v>0</v>
      </c>
      <c r="L26" s="34">
        <v>0</v>
      </c>
      <c r="M26" s="34">
        <v>0</v>
      </c>
      <c r="N26" s="34">
        <v>0</v>
      </c>
      <c r="O26" s="34">
        <v>0</v>
      </c>
      <c r="P26" s="34">
        <v>0</v>
      </c>
      <c r="Q26" s="34">
        <v>0</v>
      </c>
      <c r="R26" s="34">
        <v>0</v>
      </c>
      <c r="S26" s="34">
        <v>0</v>
      </c>
      <c r="T26" s="34">
        <f t="shared" si="3"/>
        <v>0</v>
      </c>
      <c r="U26" s="40">
        <v>0</v>
      </c>
      <c r="V26" s="40">
        <v>0</v>
      </c>
      <c r="W26" s="40">
        <v>0</v>
      </c>
      <c r="X26" s="40">
        <v>0</v>
      </c>
      <c r="Y26" s="131">
        <f t="shared" si="5"/>
        <v>0</v>
      </c>
      <c r="Z26" s="40">
        <v>0</v>
      </c>
      <c r="AA26" s="40">
        <v>0</v>
      </c>
      <c r="AB26" s="40">
        <v>0</v>
      </c>
      <c r="AC26" s="40">
        <v>0</v>
      </c>
      <c r="AD26" s="131">
        <f t="shared" si="6"/>
        <v>0</v>
      </c>
    </row>
    <row r="27" spans="3:35" x14ac:dyDescent="0.2">
      <c r="C27" s="32" t="s">
        <v>92</v>
      </c>
      <c r="D27" s="33">
        <f>+SUM(D16,D18:D26)</f>
        <v>11.384356000000004</v>
      </c>
      <c r="E27" s="33">
        <f t="shared" ref="E27:AD27" si="7">+SUM(E16,E18:E26)</f>
        <v>101.31894200000005</v>
      </c>
      <c r="F27" s="33">
        <f t="shared" si="7"/>
        <v>7.3418779999999995</v>
      </c>
      <c r="G27" s="33">
        <f t="shared" si="7"/>
        <v>-8.0793130000000009</v>
      </c>
      <c r="H27" s="33">
        <f t="shared" si="7"/>
        <v>-4.7078429999999996</v>
      </c>
      <c r="I27" s="33">
        <f t="shared" si="7"/>
        <v>4.5427090000000039</v>
      </c>
      <c r="J27" s="33">
        <f t="shared" si="7"/>
        <v>-0.90256900000001705</v>
      </c>
      <c r="K27" s="33">
        <f t="shared" si="7"/>
        <v>9.2817980000000091</v>
      </c>
      <c r="L27" s="33">
        <f t="shared" si="7"/>
        <v>7.9423860000000017</v>
      </c>
      <c r="M27" s="33">
        <f t="shared" si="7"/>
        <v>18.908404999999991</v>
      </c>
      <c r="N27" s="33">
        <f t="shared" si="7"/>
        <v>48.427405999999998</v>
      </c>
      <c r="O27" s="33">
        <f t="shared" si="7"/>
        <v>84.559994999999972</v>
      </c>
      <c r="P27" s="33">
        <f t="shared" si="7"/>
        <v>51.60375599999999</v>
      </c>
      <c r="Q27" s="33">
        <f t="shared" si="7"/>
        <v>52.937653000000005</v>
      </c>
      <c r="R27" s="33">
        <f t="shared" si="7"/>
        <v>19.449180999999996</v>
      </c>
      <c r="S27" s="33">
        <f t="shared" si="7"/>
        <v>21.260434</v>
      </c>
      <c r="T27" s="33">
        <f t="shared" si="7"/>
        <v>145.25102400000003</v>
      </c>
      <c r="U27" s="33">
        <f t="shared" si="7"/>
        <v>43.42534551512589</v>
      </c>
      <c r="V27" s="33">
        <f t="shared" si="7"/>
        <v>30.88327675461565</v>
      </c>
      <c r="W27" s="33">
        <f t="shared" si="7"/>
        <v>28.076893884516387</v>
      </c>
      <c r="X27" s="33">
        <f t="shared" si="7"/>
        <v>59.349272014417132</v>
      </c>
      <c r="Y27" s="33">
        <f t="shared" si="7"/>
        <v>161.73478816867504</v>
      </c>
      <c r="Z27" s="33">
        <f t="shared" si="7"/>
        <v>62.271560144317874</v>
      </c>
      <c r="AA27" s="33">
        <f t="shared" si="7"/>
        <v>54.364760274218611</v>
      </c>
      <c r="AB27" s="33">
        <f t="shared" si="7"/>
        <v>50.220302404119352</v>
      </c>
      <c r="AC27" s="33">
        <f t="shared" si="7"/>
        <v>89.25710653402011</v>
      </c>
      <c r="AD27" s="33">
        <f t="shared" si="7"/>
        <v>256.11372935667595</v>
      </c>
    </row>
    <row r="28" spans="3:35" ht="5.0999999999999996" customHeight="1" x14ac:dyDescent="0.2">
      <c r="D28" s="37"/>
      <c r="E28" s="37"/>
      <c r="F28" s="37"/>
      <c r="G28" s="37"/>
      <c r="H28" s="37"/>
      <c r="I28" s="37"/>
      <c r="J28" s="37"/>
      <c r="K28" s="37"/>
      <c r="L28" s="37"/>
      <c r="M28" s="37"/>
      <c r="N28" s="37"/>
      <c r="O28" s="37"/>
      <c r="P28" s="37"/>
      <c r="Q28" s="37"/>
      <c r="R28" s="37"/>
    </row>
    <row r="29" spans="3:35" x14ac:dyDescent="0.2">
      <c r="C29" s="17" t="s">
        <v>83</v>
      </c>
      <c r="D29" s="36">
        <v>24.585920000000002</v>
      </c>
      <c r="E29" s="36">
        <v>41.619641000000001</v>
      </c>
      <c r="F29" s="36">
        <v>11.18913</v>
      </c>
      <c r="G29" s="36">
        <v>10.824809999999999</v>
      </c>
      <c r="H29" s="36">
        <v>8.2856719999999999</v>
      </c>
      <c r="I29" s="36">
        <v>8.3666540000000005</v>
      </c>
      <c r="J29" s="36">
        <v>38.666265999999993</v>
      </c>
      <c r="K29" s="36">
        <v>8.237584</v>
      </c>
      <c r="L29" s="36">
        <v>10.017306</v>
      </c>
      <c r="M29" s="36">
        <v>9.5417190000000005</v>
      </c>
      <c r="N29" s="36">
        <v>10.166315000000001</v>
      </c>
      <c r="O29" s="36">
        <v>37.962924000000001</v>
      </c>
      <c r="P29" s="36">
        <v>9.9858370000000001</v>
      </c>
      <c r="Q29" s="36">
        <v>10.072302000000001</v>
      </c>
      <c r="R29" s="36">
        <v>10.047423999999999</v>
      </c>
      <c r="S29" s="36">
        <v>10.277065</v>
      </c>
      <c r="T29" s="36">
        <f>+SUM(P29:S29)</f>
        <v>40.382627999999997</v>
      </c>
      <c r="U29" s="130">
        <f>-U18</f>
        <v>10.277065</v>
      </c>
      <c r="V29" s="130">
        <f t="shared" ref="V29:AC29" si="8">-V18</f>
        <v>10.277065</v>
      </c>
      <c r="W29" s="130">
        <f t="shared" si="8"/>
        <v>10.277065</v>
      </c>
      <c r="X29" s="130">
        <f t="shared" si="8"/>
        <v>10.277065</v>
      </c>
      <c r="Y29" s="131">
        <f>+SUM(U29:X29)</f>
        <v>41.108260000000001</v>
      </c>
      <c r="Z29" s="130">
        <f>-Z18</f>
        <v>10.277065</v>
      </c>
      <c r="AA29" s="130">
        <f t="shared" si="8"/>
        <v>10.277065</v>
      </c>
      <c r="AB29" s="130">
        <f t="shared" si="8"/>
        <v>10.277065</v>
      </c>
      <c r="AC29" s="130">
        <f t="shared" si="8"/>
        <v>10.277065</v>
      </c>
      <c r="AD29" s="131">
        <f>+SUM(Z29:AC29)</f>
        <v>41.108260000000001</v>
      </c>
    </row>
    <row r="30" spans="3:35" ht="12.95" customHeight="1" x14ac:dyDescent="0.2">
      <c r="C30" s="17" t="s">
        <v>106</v>
      </c>
      <c r="D30" s="36">
        <v>28.237030000000001</v>
      </c>
      <c r="E30" s="36">
        <v>34.373842000000003</v>
      </c>
      <c r="F30" s="36">
        <v>7.2473859999999997</v>
      </c>
      <c r="G30" s="36">
        <v>7.2347780000000004</v>
      </c>
      <c r="H30" s="36">
        <v>6.886342</v>
      </c>
      <c r="I30" s="36">
        <v>5.7143350000000002</v>
      </c>
      <c r="J30" s="36">
        <v>27.082841000000002</v>
      </c>
      <c r="K30" s="36">
        <v>5.193702</v>
      </c>
      <c r="L30" s="36">
        <v>7.6436450000000002</v>
      </c>
      <c r="M30" s="36">
        <v>9.5521320000000003</v>
      </c>
      <c r="N30" s="36">
        <v>12.687813999999999</v>
      </c>
      <c r="O30" s="36">
        <v>35.077292999999997</v>
      </c>
      <c r="P30" s="36">
        <v>14.257906999999999</v>
      </c>
      <c r="Q30" s="36">
        <v>14.761612</v>
      </c>
      <c r="R30" s="36">
        <v>14.834047999999999</v>
      </c>
      <c r="S30" s="36">
        <v>14.827418</v>
      </c>
      <c r="T30" s="36">
        <f t="shared" ref="T30:T46" si="9">+SUM(P30:S30)</f>
        <v>58.680985</v>
      </c>
      <c r="U30" s="40">
        <v>0</v>
      </c>
      <c r="V30" s="40">
        <v>0</v>
      </c>
      <c r="W30" s="40">
        <v>0</v>
      </c>
      <c r="X30" s="40">
        <v>0</v>
      </c>
      <c r="Y30" s="131">
        <f>+SUM(U30:X30)</f>
        <v>0</v>
      </c>
      <c r="Z30" s="40">
        <v>0</v>
      </c>
      <c r="AA30" s="40">
        <v>0</v>
      </c>
      <c r="AB30" s="40">
        <v>0</v>
      </c>
      <c r="AC30" s="40">
        <v>0</v>
      </c>
      <c r="AD30" s="131">
        <f>+SUM(Z30:AC30)</f>
        <v>0</v>
      </c>
    </row>
    <row r="31" spans="3:35" x14ac:dyDescent="0.2">
      <c r="C31" s="17" t="s">
        <v>107</v>
      </c>
      <c r="D31" s="36">
        <v>1.932574</v>
      </c>
      <c r="E31" s="36">
        <v>2.5193629999999998</v>
      </c>
      <c r="F31" s="36">
        <v>0.36803599999999997</v>
      </c>
      <c r="G31" s="36">
        <v>0.42770000000000002</v>
      </c>
      <c r="H31" s="36">
        <v>0.396032</v>
      </c>
      <c r="I31" s="36">
        <v>3.0415540000000001</v>
      </c>
      <c r="J31" s="36">
        <v>4.2333220000000003</v>
      </c>
      <c r="K31" s="36">
        <v>0.262706</v>
      </c>
      <c r="L31" s="36">
        <v>0.87265099999999995</v>
      </c>
      <c r="M31" s="36">
        <v>0.28023599999999999</v>
      </c>
      <c r="N31" s="36">
        <v>0.27752399999999999</v>
      </c>
      <c r="O31" s="36">
        <v>1.693117</v>
      </c>
      <c r="P31" s="36">
        <v>0.26946100000000001</v>
      </c>
      <c r="Q31" s="36">
        <v>0.86387199999999997</v>
      </c>
      <c r="R31" s="36">
        <v>0.61427100000000001</v>
      </c>
      <c r="S31" s="36">
        <v>0.246587</v>
      </c>
      <c r="T31" s="36">
        <f t="shared" si="9"/>
        <v>1.9941909999999998</v>
      </c>
      <c r="U31" s="40">
        <v>0</v>
      </c>
      <c r="V31" s="40">
        <v>0</v>
      </c>
      <c r="W31" s="40">
        <v>0</v>
      </c>
      <c r="X31" s="40">
        <v>0</v>
      </c>
      <c r="Y31" s="131">
        <f t="shared" ref="Y31:Y46" si="10">+SUM(U31:X31)</f>
        <v>0</v>
      </c>
      <c r="Z31" s="40">
        <v>0</v>
      </c>
      <c r="AA31" s="40">
        <v>0</v>
      </c>
      <c r="AB31" s="40">
        <v>0</v>
      </c>
      <c r="AC31" s="40">
        <v>0</v>
      </c>
      <c r="AD31" s="131">
        <f t="shared" ref="AD31:AD46" si="11">+SUM(Z31:AC31)</f>
        <v>0</v>
      </c>
    </row>
    <row r="32" spans="3:35" x14ac:dyDescent="0.2">
      <c r="C32" s="17" t="s">
        <v>108</v>
      </c>
      <c r="D32" s="36">
        <v>0</v>
      </c>
      <c r="E32" s="36">
        <v>1.116166</v>
      </c>
      <c r="F32" s="36">
        <v>-1.5093859999999999</v>
      </c>
      <c r="G32" s="36">
        <v>7.6183000000000001E-2</v>
      </c>
      <c r="H32" s="36">
        <v>2.6696000000000001E-2</v>
      </c>
      <c r="I32" s="36">
        <v>-2.750426</v>
      </c>
      <c r="J32" s="36">
        <v>-4.1569329999999995</v>
      </c>
      <c r="K32" s="36">
        <v>-7.5328739999999996</v>
      </c>
      <c r="L32" s="36">
        <v>1.8028740000000001</v>
      </c>
      <c r="M32" s="36">
        <v>8.2302909999999994</v>
      </c>
      <c r="N32" s="36">
        <v>0.44123800000000002</v>
      </c>
      <c r="O32" s="36">
        <v>2.9415290000000001</v>
      </c>
      <c r="P32" s="36">
        <v>-0.45920899999999998</v>
      </c>
      <c r="Q32" s="36">
        <v>0.46536499999999997</v>
      </c>
      <c r="R32" s="36">
        <v>0.32778299999999999</v>
      </c>
      <c r="S32" s="36">
        <v>-0.354074</v>
      </c>
      <c r="T32" s="36">
        <f t="shared" si="9"/>
        <v>-2.0135000000000014E-2</v>
      </c>
      <c r="U32" s="40">
        <v>0</v>
      </c>
      <c r="V32" s="40">
        <v>0</v>
      </c>
      <c r="W32" s="40">
        <v>0</v>
      </c>
      <c r="X32" s="40">
        <v>0</v>
      </c>
      <c r="Y32" s="131">
        <f t="shared" si="10"/>
        <v>0</v>
      </c>
      <c r="Z32" s="40">
        <v>0</v>
      </c>
      <c r="AA32" s="40">
        <v>0</v>
      </c>
      <c r="AB32" s="40">
        <v>0</v>
      </c>
      <c r="AC32" s="40">
        <v>0</v>
      </c>
      <c r="AD32" s="131">
        <f t="shared" si="11"/>
        <v>0</v>
      </c>
    </row>
    <row r="33" spans="3:30" x14ac:dyDescent="0.2">
      <c r="C33" s="17" t="s">
        <v>85</v>
      </c>
      <c r="D33" s="36">
        <v>-0.13002</v>
      </c>
      <c r="E33" s="36">
        <v>-5.0499000000000002E-2</v>
      </c>
      <c r="F33" s="36">
        <v>-1.431E-3</v>
      </c>
      <c r="G33" s="36">
        <v>-1.1329999999999999E-3</v>
      </c>
      <c r="H33" s="36">
        <v>-5.9100000000000005E-4</v>
      </c>
      <c r="I33" s="36">
        <v>-3.1500000000000001E-4</v>
      </c>
      <c r="J33" s="36">
        <v>-3.47E-3</v>
      </c>
      <c r="K33" s="36">
        <v>-2.9100000000000003E-4</v>
      </c>
      <c r="L33" s="36">
        <v>-8.3835000000000007E-2</v>
      </c>
      <c r="M33" s="36">
        <v>-0.279335</v>
      </c>
      <c r="N33" s="36">
        <v>-0.35806700000000002</v>
      </c>
      <c r="O33" s="36">
        <v>-0.72152800000000006</v>
      </c>
      <c r="P33" s="36">
        <v>-1.055993</v>
      </c>
      <c r="Q33" s="36">
        <v>-1.1222650000000001</v>
      </c>
      <c r="R33" s="36">
        <v>-1.0197700000000001</v>
      </c>
      <c r="S33" s="36">
        <v>-0.90653600000000001</v>
      </c>
      <c r="T33" s="36">
        <f t="shared" si="9"/>
        <v>-4.1045639999999999</v>
      </c>
      <c r="U33" s="40">
        <v>0</v>
      </c>
      <c r="V33" s="40">
        <v>0</v>
      </c>
      <c r="W33" s="40">
        <v>0</v>
      </c>
      <c r="X33" s="40">
        <v>0</v>
      </c>
      <c r="Y33" s="131">
        <f t="shared" si="10"/>
        <v>0</v>
      </c>
      <c r="Z33" s="40">
        <v>0</v>
      </c>
      <c r="AA33" s="40">
        <v>0</v>
      </c>
      <c r="AB33" s="40">
        <v>0</v>
      </c>
      <c r="AC33" s="40">
        <v>0</v>
      </c>
      <c r="AD33" s="131">
        <f t="shared" si="11"/>
        <v>0</v>
      </c>
    </row>
    <row r="34" spans="3:30" x14ac:dyDescent="0.2">
      <c r="C34" s="17" t="s">
        <v>109</v>
      </c>
      <c r="D34" s="36">
        <v>4.5356E-2</v>
      </c>
      <c r="E34" s="36">
        <v>8.1089999999999999E-3</v>
      </c>
      <c r="F34" s="36">
        <v>0</v>
      </c>
      <c r="G34" s="36">
        <v>0</v>
      </c>
      <c r="H34" s="36">
        <v>0</v>
      </c>
      <c r="I34" s="36">
        <v>-4.4083999999999998E-2</v>
      </c>
      <c r="J34" s="36">
        <v>-4.4083999999999998E-2</v>
      </c>
      <c r="K34" s="36">
        <v>0</v>
      </c>
      <c r="L34" s="36">
        <v>0</v>
      </c>
      <c r="M34" s="36">
        <v>0</v>
      </c>
      <c r="N34" s="36">
        <v>6.6429999999999996E-3</v>
      </c>
      <c r="O34" s="36">
        <v>6.6429999999999996E-3</v>
      </c>
      <c r="P34" s="36">
        <v>-1.4239E-2</v>
      </c>
      <c r="Q34" s="36">
        <v>-1.1769E-2</v>
      </c>
      <c r="R34" s="36">
        <v>-7.7200000000000003E-3</v>
      </c>
      <c r="S34" s="36">
        <v>-9.5949999999999994E-3</v>
      </c>
      <c r="T34" s="36">
        <f t="shared" si="9"/>
        <v>-4.3323E-2</v>
      </c>
      <c r="U34" s="40">
        <v>0</v>
      </c>
      <c r="V34" s="40">
        <v>0</v>
      </c>
      <c r="W34" s="40">
        <v>0</v>
      </c>
      <c r="X34" s="40">
        <v>0</v>
      </c>
      <c r="Y34" s="131">
        <f t="shared" si="10"/>
        <v>0</v>
      </c>
      <c r="Z34" s="40">
        <v>0</v>
      </c>
      <c r="AA34" s="40">
        <v>0</v>
      </c>
      <c r="AB34" s="40">
        <v>0</v>
      </c>
      <c r="AC34" s="40">
        <v>0</v>
      </c>
      <c r="AD34" s="131">
        <f t="shared" si="11"/>
        <v>0</v>
      </c>
    </row>
    <row r="35" spans="3:30" x14ac:dyDescent="0.2">
      <c r="C35" s="17" t="s">
        <v>110</v>
      </c>
      <c r="D35" s="36">
        <v>0</v>
      </c>
      <c r="E35" s="36">
        <v>0</v>
      </c>
      <c r="F35" s="36">
        <v>0</v>
      </c>
      <c r="G35" s="36">
        <v>0</v>
      </c>
      <c r="H35" s="36">
        <v>0</v>
      </c>
      <c r="I35" s="36">
        <v>0</v>
      </c>
      <c r="J35" s="36">
        <v>0</v>
      </c>
      <c r="K35" s="36">
        <v>0</v>
      </c>
      <c r="L35" s="36">
        <v>-0.19625699999999999</v>
      </c>
      <c r="M35" s="36">
        <v>-0.27415899999999999</v>
      </c>
      <c r="N35" s="36">
        <v>0.13079399999999999</v>
      </c>
      <c r="O35" s="36">
        <v>-0.33962199999999998</v>
      </c>
      <c r="P35" s="36">
        <v>-0.55510899999999996</v>
      </c>
      <c r="Q35" s="36">
        <v>-2.5260999999999999E-2</v>
      </c>
      <c r="R35" s="36">
        <v>0.53178499999999995</v>
      </c>
      <c r="S35" s="36">
        <v>-0.66417999999999999</v>
      </c>
      <c r="T35" s="36">
        <f t="shared" si="9"/>
        <v>-0.71276499999999998</v>
      </c>
      <c r="U35" s="40">
        <v>0</v>
      </c>
      <c r="V35" s="40">
        <v>0</v>
      </c>
      <c r="W35" s="40">
        <v>0</v>
      </c>
      <c r="X35" s="40">
        <v>0</v>
      </c>
      <c r="Y35" s="131">
        <f t="shared" si="10"/>
        <v>0</v>
      </c>
      <c r="Z35" s="40">
        <v>0</v>
      </c>
      <c r="AA35" s="40">
        <v>0</v>
      </c>
      <c r="AB35" s="40">
        <v>0</v>
      </c>
      <c r="AC35" s="40">
        <v>0</v>
      </c>
      <c r="AD35" s="131">
        <f t="shared" si="11"/>
        <v>0</v>
      </c>
    </row>
    <row r="36" spans="3:30" x14ac:dyDescent="0.2">
      <c r="C36" s="17" t="s">
        <v>111</v>
      </c>
      <c r="D36" s="36">
        <v>0</v>
      </c>
      <c r="E36" s="36">
        <v>0</v>
      </c>
      <c r="F36" s="36">
        <v>0</v>
      </c>
      <c r="G36" s="36">
        <v>7.6189330000000002</v>
      </c>
      <c r="H36" s="36">
        <v>0.109144</v>
      </c>
      <c r="I36" s="36">
        <v>-11.804745</v>
      </c>
      <c r="J36" s="36">
        <v>-4.0766680000000006</v>
      </c>
      <c r="K36" s="36">
        <v>0</v>
      </c>
      <c r="L36" s="36">
        <v>0</v>
      </c>
      <c r="M36" s="36">
        <v>0</v>
      </c>
      <c r="N36" s="36">
        <v>0</v>
      </c>
      <c r="O36" s="36">
        <v>0</v>
      </c>
      <c r="P36" s="36">
        <v>0</v>
      </c>
      <c r="Q36" s="36">
        <v>0</v>
      </c>
      <c r="R36" s="36">
        <v>0</v>
      </c>
      <c r="S36" s="36">
        <v>0</v>
      </c>
      <c r="T36" s="36">
        <f t="shared" si="9"/>
        <v>0</v>
      </c>
      <c r="U36" s="40">
        <v>0</v>
      </c>
      <c r="V36" s="40">
        <v>0</v>
      </c>
      <c r="W36" s="40">
        <v>0</v>
      </c>
      <c r="X36" s="40">
        <v>0</v>
      </c>
      <c r="Y36" s="131">
        <f t="shared" si="10"/>
        <v>0</v>
      </c>
      <c r="Z36" s="40">
        <v>0</v>
      </c>
      <c r="AA36" s="40">
        <v>0</v>
      </c>
      <c r="AB36" s="40">
        <v>0</v>
      </c>
      <c r="AC36" s="40">
        <v>0</v>
      </c>
      <c r="AD36" s="131">
        <f t="shared" si="11"/>
        <v>0</v>
      </c>
    </row>
    <row r="37" spans="3:30" x14ac:dyDescent="0.2">
      <c r="C37" s="17" t="s">
        <v>112</v>
      </c>
      <c r="D37" s="36">
        <v>0</v>
      </c>
      <c r="E37" s="36">
        <v>0</v>
      </c>
      <c r="F37" s="36">
        <v>0</v>
      </c>
      <c r="G37" s="36">
        <v>3.9328729999999998</v>
      </c>
      <c r="H37" s="36">
        <v>0</v>
      </c>
      <c r="I37" s="36">
        <v>0</v>
      </c>
      <c r="J37" s="36">
        <v>3.9328729999999998</v>
      </c>
      <c r="K37" s="36">
        <v>0</v>
      </c>
      <c r="L37" s="36">
        <v>0</v>
      </c>
      <c r="M37" s="36">
        <v>0</v>
      </c>
      <c r="N37" s="36">
        <v>0</v>
      </c>
      <c r="O37" s="36">
        <v>0</v>
      </c>
      <c r="P37" s="36">
        <v>0</v>
      </c>
      <c r="Q37" s="36">
        <v>0</v>
      </c>
      <c r="R37" s="36">
        <v>0</v>
      </c>
      <c r="S37" s="36">
        <v>0</v>
      </c>
      <c r="T37" s="36">
        <f t="shared" si="9"/>
        <v>0</v>
      </c>
      <c r="U37" s="40">
        <v>0</v>
      </c>
      <c r="V37" s="40">
        <v>0</v>
      </c>
      <c r="W37" s="40">
        <v>0</v>
      </c>
      <c r="X37" s="40">
        <v>0</v>
      </c>
      <c r="Y37" s="131">
        <f t="shared" si="10"/>
        <v>0</v>
      </c>
      <c r="Z37" s="40">
        <v>0</v>
      </c>
      <c r="AA37" s="40">
        <v>0</v>
      </c>
      <c r="AB37" s="40">
        <v>0</v>
      </c>
      <c r="AC37" s="40">
        <v>0</v>
      </c>
      <c r="AD37" s="131">
        <f t="shared" si="11"/>
        <v>0</v>
      </c>
    </row>
    <row r="38" spans="3:30" x14ac:dyDescent="0.2">
      <c r="C38" s="17" t="s">
        <v>113</v>
      </c>
      <c r="D38" s="36">
        <v>-14.911614</v>
      </c>
      <c r="E38" s="36">
        <v>3.5979009999999998</v>
      </c>
      <c r="F38" s="36">
        <v>3.9981529999999998</v>
      </c>
      <c r="G38" s="36">
        <v>-8.8350279999999994</v>
      </c>
      <c r="H38" s="36">
        <v>9.199211</v>
      </c>
      <c r="I38" s="36">
        <v>2.8223349999999998</v>
      </c>
      <c r="J38" s="36">
        <v>7.1846710000000007</v>
      </c>
      <c r="K38" s="36">
        <v>-11.814951000000001</v>
      </c>
      <c r="L38" s="36">
        <v>1.8671249999999999</v>
      </c>
      <c r="M38" s="36">
        <v>-7.5450369999999998</v>
      </c>
      <c r="N38" s="36">
        <v>-24.748967</v>
      </c>
      <c r="O38" s="36">
        <v>-42.24183</v>
      </c>
      <c r="P38" s="36">
        <v>18.673987</v>
      </c>
      <c r="Q38" s="36">
        <v>-34.117654999999999</v>
      </c>
      <c r="R38" s="36">
        <v>29.288339000000001</v>
      </c>
      <c r="S38" s="36">
        <v>-19.697845999999998</v>
      </c>
      <c r="T38" s="36">
        <f t="shared" si="9"/>
        <v>-5.8531749999999967</v>
      </c>
      <c r="U38" s="40">
        <v>0</v>
      </c>
      <c r="V38" s="40">
        <v>0</v>
      </c>
      <c r="W38" s="40">
        <v>0</v>
      </c>
      <c r="X38" s="40">
        <v>0</v>
      </c>
      <c r="Y38" s="131">
        <f t="shared" si="10"/>
        <v>0</v>
      </c>
      <c r="Z38" s="40">
        <v>0</v>
      </c>
      <c r="AA38" s="40">
        <v>0</v>
      </c>
      <c r="AB38" s="40">
        <v>0</v>
      </c>
      <c r="AC38" s="40">
        <v>0</v>
      </c>
      <c r="AD38" s="131">
        <f t="shared" si="11"/>
        <v>0</v>
      </c>
    </row>
    <row r="39" spans="3:30" x14ac:dyDescent="0.2">
      <c r="C39" s="17" t="s">
        <v>114</v>
      </c>
      <c r="D39" s="36">
        <v>-1.360808</v>
      </c>
      <c r="E39" s="36">
        <v>1.3805190000000001</v>
      </c>
      <c r="F39" s="36">
        <v>-0.71520899999999998</v>
      </c>
      <c r="G39" s="36">
        <v>-0.52186999999999995</v>
      </c>
      <c r="H39" s="36">
        <v>0.16941700000000001</v>
      </c>
      <c r="I39" s="36">
        <v>0.89425600000000005</v>
      </c>
      <c r="J39" s="36">
        <v>-0.17340600000000006</v>
      </c>
      <c r="K39" s="36">
        <v>0.16899800000000001</v>
      </c>
      <c r="L39" s="36">
        <v>-1.1156429999999999</v>
      </c>
      <c r="M39" s="36">
        <v>-1.166582</v>
      </c>
      <c r="N39" s="36">
        <v>0.87799000000000005</v>
      </c>
      <c r="O39" s="36">
        <v>-1.2352370000000001</v>
      </c>
      <c r="P39" s="36">
        <v>-1.562894</v>
      </c>
      <c r="Q39" s="36">
        <v>2.2568030000000001</v>
      </c>
      <c r="R39" s="36">
        <v>-0.31361800000000001</v>
      </c>
      <c r="S39" s="36">
        <v>-1.2049730000000001</v>
      </c>
      <c r="T39" s="36">
        <f t="shared" si="9"/>
        <v>-0.82468199999999992</v>
      </c>
      <c r="U39" s="40">
        <v>0</v>
      </c>
      <c r="V39" s="40">
        <v>0</v>
      </c>
      <c r="W39" s="40">
        <v>0</v>
      </c>
      <c r="X39" s="40">
        <v>0</v>
      </c>
      <c r="Y39" s="131">
        <f t="shared" si="10"/>
        <v>0</v>
      </c>
      <c r="Z39" s="40">
        <v>0</v>
      </c>
      <c r="AA39" s="40">
        <v>0</v>
      </c>
      <c r="AB39" s="40">
        <v>0</v>
      </c>
      <c r="AC39" s="40">
        <v>0</v>
      </c>
      <c r="AD39" s="131">
        <f t="shared" si="11"/>
        <v>0</v>
      </c>
    </row>
    <row r="40" spans="3:30" x14ac:dyDescent="0.2">
      <c r="C40" s="17" t="s">
        <v>115</v>
      </c>
      <c r="D40" s="36">
        <v>-3.8652869999999999</v>
      </c>
      <c r="E40" s="36">
        <v>0.78497300000000003</v>
      </c>
      <c r="F40" s="36">
        <v>-2.6919870000000001</v>
      </c>
      <c r="G40" s="36">
        <v>-5.6825070000000002</v>
      </c>
      <c r="H40" s="36">
        <v>-3.1671130000000001</v>
      </c>
      <c r="I40" s="36">
        <v>4.6785600000000001</v>
      </c>
      <c r="J40" s="36">
        <v>-6.8630470000000008</v>
      </c>
      <c r="K40" s="36">
        <v>4.1016709999999996</v>
      </c>
      <c r="L40" s="36">
        <v>-11.188907</v>
      </c>
      <c r="M40" s="36">
        <v>-2.7105130000000002</v>
      </c>
      <c r="N40" s="36">
        <v>5.4177489999999997</v>
      </c>
      <c r="O40" s="36">
        <v>-4.3800000000000017</v>
      </c>
      <c r="P40" s="36">
        <v>-2.0506030000000002</v>
      </c>
      <c r="Q40" s="36">
        <v>-2.4203030000000001</v>
      </c>
      <c r="R40" s="36">
        <v>-2.7622409999999999</v>
      </c>
      <c r="S40" s="36">
        <v>-1.110339</v>
      </c>
      <c r="T40" s="36">
        <f t="shared" si="9"/>
        <v>-8.3434860000000004</v>
      </c>
      <c r="U40" s="40">
        <v>0</v>
      </c>
      <c r="V40" s="40">
        <v>0</v>
      </c>
      <c r="W40" s="40">
        <v>0</v>
      </c>
      <c r="X40" s="40">
        <v>0</v>
      </c>
      <c r="Y40" s="131">
        <f t="shared" si="10"/>
        <v>0</v>
      </c>
      <c r="Z40" s="40">
        <v>0</v>
      </c>
      <c r="AA40" s="40">
        <v>0</v>
      </c>
      <c r="AB40" s="40">
        <v>0</v>
      </c>
      <c r="AC40" s="40">
        <v>0</v>
      </c>
      <c r="AD40" s="131">
        <f t="shared" si="11"/>
        <v>0</v>
      </c>
    </row>
    <row r="41" spans="3:30" x14ac:dyDescent="0.2">
      <c r="C41" s="17" t="s">
        <v>116</v>
      </c>
      <c r="D41" s="36">
        <v>7.7413629999999998</v>
      </c>
      <c r="E41" s="36">
        <v>0.58818899999999996</v>
      </c>
      <c r="F41" s="36">
        <v>1.251228</v>
      </c>
      <c r="G41" s="36">
        <v>7.3695700000000004</v>
      </c>
      <c r="H41" s="36">
        <v>-3.397186</v>
      </c>
      <c r="I41" s="36">
        <v>-8.1690649999999998</v>
      </c>
      <c r="J41" s="36">
        <v>-2.9454529999999988</v>
      </c>
      <c r="K41" s="36">
        <v>-0.24826599999999999</v>
      </c>
      <c r="L41" s="36">
        <v>5.7124269999999999</v>
      </c>
      <c r="M41" s="36">
        <v>-0.84340199999999999</v>
      </c>
      <c r="N41" s="36">
        <v>-7.5224390000000003</v>
      </c>
      <c r="O41" s="36">
        <v>-2.9016800000000007</v>
      </c>
      <c r="P41" s="36">
        <v>7.4229349999999998</v>
      </c>
      <c r="Q41" s="36">
        <v>3.8804400000000001</v>
      </c>
      <c r="R41" s="36">
        <v>1.2236229999999999</v>
      </c>
      <c r="S41" s="36">
        <v>-1.5688359999999999</v>
      </c>
      <c r="T41" s="36">
        <f t="shared" si="9"/>
        <v>10.958162</v>
      </c>
      <c r="U41" s="40">
        <v>0</v>
      </c>
      <c r="V41" s="40">
        <v>0</v>
      </c>
      <c r="W41" s="40">
        <v>0</v>
      </c>
      <c r="X41" s="40">
        <v>0</v>
      </c>
      <c r="Y41" s="131">
        <f t="shared" si="10"/>
        <v>0</v>
      </c>
      <c r="Z41" s="40">
        <v>0</v>
      </c>
      <c r="AA41" s="40">
        <v>0</v>
      </c>
      <c r="AB41" s="40">
        <v>0</v>
      </c>
      <c r="AC41" s="40">
        <v>0</v>
      </c>
      <c r="AD41" s="131">
        <f t="shared" si="11"/>
        <v>0</v>
      </c>
    </row>
    <row r="42" spans="3:30" x14ac:dyDescent="0.2">
      <c r="C42" s="17" t="s">
        <v>117</v>
      </c>
      <c r="D42" s="36">
        <v>3.0423529999999999</v>
      </c>
      <c r="E42" s="36">
        <v>-1.8922019999999999</v>
      </c>
      <c r="F42" s="36">
        <v>0.30102099999999998</v>
      </c>
      <c r="G42" s="36">
        <v>0.75771200000000005</v>
      </c>
      <c r="H42" s="36">
        <v>4.8500000000000001E-3</v>
      </c>
      <c r="I42" s="36">
        <v>-0.59387900000000005</v>
      </c>
      <c r="J42" s="36">
        <v>0.46970400000000012</v>
      </c>
      <c r="K42" s="36">
        <v>-0.29284700000000002</v>
      </c>
      <c r="L42" s="36">
        <v>-0.38927299999999998</v>
      </c>
      <c r="M42" s="36">
        <v>0.92281000000000002</v>
      </c>
      <c r="N42" s="36">
        <v>0.63094700000000004</v>
      </c>
      <c r="O42" s="36">
        <v>0.871637</v>
      </c>
      <c r="P42" s="36">
        <v>-1.305223</v>
      </c>
      <c r="Q42" s="36">
        <v>2.3640080000000001</v>
      </c>
      <c r="R42" s="36">
        <v>-1.5175510000000001</v>
      </c>
      <c r="S42" s="36">
        <v>-7.1859000000000006E-2</v>
      </c>
      <c r="T42" s="36">
        <f t="shared" si="9"/>
        <v>-0.53062500000000001</v>
      </c>
      <c r="U42" s="40">
        <v>0</v>
      </c>
      <c r="V42" s="40">
        <v>0</v>
      </c>
      <c r="W42" s="40">
        <v>0</v>
      </c>
      <c r="X42" s="40">
        <v>0</v>
      </c>
      <c r="Y42" s="131">
        <f t="shared" si="10"/>
        <v>0</v>
      </c>
      <c r="Z42" s="40">
        <v>0</v>
      </c>
      <c r="AA42" s="40">
        <v>0</v>
      </c>
      <c r="AB42" s="40">
        <v>0</v>
      </c>
      <c r="AC42" s="40">
        <v>0</v>
      </c>
      <c r="AD42" s="131">
        <f t="shared" si="11"/>
        <v>0</v>
      </c>
    </row>
    <row r="43" spans="3:30" x14ac:dyDescent="0.2">
      <c r="C43" s="17" t="s">
        <v>118</v>
      </c>
      <c r="D43" s="36">
        <v>3.854276</v>
      </c>
      <c r="E43" s="36">
        <v>1.543166</v>
      </c>
      <c r="F43" s="36">
        <v>-0.65082499999999999</v>
      </c>
      <c r="G43" s="36">
        <v>-5.3154669999999999</v>
      </c>
      <c r="H43" s="36">
        <v>2.976</v>
      </c>
      <c r="I43" s="36">
        <v>-3.472</v>
      </c>
      <c r="J43" s="36">
        <v>-6.4622919999999997</v>
      </c>
      <c r="K43" s="36">
        <v>0</v>
      </c>
      <c r="L43" s="36">
        <v>2.2087500000000002</v>
      </c>
      <c r="M43" s="36">
        <v>1.1392500000000001</v>
      </c>
      <c r="N43" s="36">
        <v>0.90749999999999997</v>
      </c>
      <c r="O43" s="36">
        <v>4.2555000000000005</v>
      </c>
      <c r="P43" s="36">
        <v>-0.108</v>
      </c>
      <c r="Q43" s="36">
        <v>-2.3572500000000001</v>
      </c>
      <c r="R43" s="36">
        <v>0</v>
      </c>
      <c r="S43" s="36">
        <v>-1.7902499999999999</v>
      </c>
      <c r="T43" s="36">
        <f t="shared" si="9"/>
        <v>-4.2554999999999996</v>
      </c>
      <c r="U43" s="40">
        <v>0</v>
      </c>
      <c r="V43" s="40">
        <v>0</v>
      </c>
      <c r="W43" s="40">
        <v>0</v>
      </c>
      <c r="X43" s="40">
        <v>0</v>
      </c>
      <c r="Y43" s="131">
        <f t="shared" si="10"/>
        <v>0</v>
      </c>
      <c r="Z43" s="40">
        <v>0</v>
      </c>
      <c r="AA43" s="40">
        <v>0</v>
      </c>
      <c r="AB43" s="40">
        <v>0</v>
      </c>
      <c r="AC43" s="40">
        <v>0</v>
      </c>
      <c r="AD43" s="131">
        <f t="shared" si="11"/>
        <v>0</v>
      </c>
    </row>
    <row r="44" spans="3:30" x14ac:dyDescent="0.2">
      <c r="C44" s="17" t="s">
        <v>119</v>
      </c>
      <c r="D44" s="36">
        <v>4.8329599999999999</v>
      </c>
      <c r="E44" s="36">
        <v>-6.1839999999999999E-2</v>
      </c>
      <c r="F44" s="36">
        <v>-2.9263999999999998E-2</v>
      </c>
      <c r="G44" s="36">
        <v>-3.5867000000000003E-2</v>
      </c>
      <c r="H44" s="36">
        <v>-9.8003999999999994E-2</v>
      </c>
      <c r="I44" s="36">
        <v>5.6489999999999999E-2</v>
      </c>
      <c r="J44" s="36">
        <v>-0.10664499999999998</v>
      </c>
      <c r="K44" s="36">
        <v>0</v>
      </c>
      <c r="L44" s="36">
        <v>9.7762000000000002E-2</v>
      </c>
      <c r="M44" s="36">
        <v>-3.2499999999999999E-4</v>
      </c>
      <c r="N44" s="36">
        <v>5.5265000000000002E-2</v>
      </c>
      <c r="O44" s="36">
        <v>0.152702</v>
      </c>
      <c r="P44" s="36">
        <v>-2.3741999999999999E-2</v>
      </c>
      <c r="Q44" s="36">
        <v>2.1937000000000002E-2</v>
      </c>
      <c r="R44" s="36">
        <v>0</v>
      </c>
      <c r="S44" s="36">
        <v>-5.3319999999999999E-3</v>
      </c>
      <c r="T44" s="36">
        <f t="shared" si="9"/>
        <v>-7.1369999999999975E-3</v>
      </c>
      <c r="U44" s="40">
        <v>0</v>
      </c>
      <c r="V44" s="40">
        <v>0</v>
      </c>
      <c r="W44" s="40">
        <v>0</v>
      </c>
      <c r="X44" s="40">
        <v>0</v>
      </c>
      <c r="Y44" s="131">
        <f t="shared" si="10"/>
        <v>0</v>
      </c>
      <c r="Z44" s="40">
        <v>0</v>
      </c>
      <c r="AA44" s="40">
        <v>0</v>
      </c>
      <c r="AB44" s="40">
        <v>0</v>
      </c>
      <c r="AC44" s="40">
        <v>0</v>
      </c>
      <c r="AD44" s="131">
        <f t="shared" si="11"/>
        <v>0</v>
      </c>
    </row>
    <row r="45" spans="3:30" x14ac:dyDescent="0.2">
      <c r="C45" s="17" t="s">
        <v>120</v>
      </c>
      <c r="D45" s="36">
        <v>0</v>
      </c>
      <c r="E45" s="36">
        <v>0</v>
      </c>
      <c r="F45" s="36"/>
      <c r="G45" s="36"/>
      <c r="H45" s="36"/>
      <c r="I45" s="36"/>
      <c r="J45" s="36">
        <v>0</v>
      </c>
      <c r="K45" s="36"/>
      <c r="L45" s="36"/>
      <c r="M45" s="36"/>
      <c r="N45" s="36"/>
      <c r="O45" s="36">
        <v>0</v>
      </c>
      <c r="P45" s="36">
        <v>-3.9771000000000001E-2</v>
      </c>
      <c r="Q45" s="36">
        <v>1.1172500000000001</v>
      </c>
      <c r="R45" s="36">
        <v>-0.19151000000000001</v>
      </c>
      <c r="S45" s="36">
        <v>0.223634</v>
      </c>
      <c r="T45" s="36">
        <f t="shared" si="9"/>
        <v>1.1096029999999999</v>
      </c>
      <c r="U45" s="40">
        <v>0</v>
      </c>
      <c r="V45" s="40">
        <v>0</v>
      </c>
      <c r="W45" s="40">
        <v>0</v>
      </c>
      <c r="X45" s="40">
        <v>0</v>
      </c>
      <c r="Y45" s="131">
        <f t="shared" si="10"/>
        <v>0</v>
      </c>
      <c r="Z45" s="40">
        <v>0</v>
      </c>
      <c r="AA45" s="40">
        <v>0</v>
      </c>
      <c r="AB45" s="40">
        <v>0</v>
      </c>
      <c r="AC45" s="40">
        <v>0</v>
      </c>
      <c r="AD45" s="131">
        <f t="shared" si="11"/>
        <v>0</v>
      </c>
    </row>
    <row r="46" spans="3:30" x14ac:dyDescent="0.2">
      <c r="C46" s="17" t="s">
        <v>121</v>
      </c>
      <c r="D46" s="36">
        <v>-26.844255</v>
      </c>
      <c r="E46" s="36">
        <v>-34.643912</v>
      </c>
      <c r="F46" s="36">
        <v>-7.2948040000000001</v>
      </c>
      <c r="G46" s="36">
        <v>-6.8110059999999999</v>
      </c>
      <c r="H46" s="36">
        <v>-7.4004399999999997</v>
      </c>
      <c r="I46" s="36">
        <v>-5.7342360000000001</v>
      </c>
      <c r="J46" s="36">
        <v>-27.240486000000001</v>
      </c>
      <c r="K46" s="36">
        <v>-5.0527230000000003</v>
      </c>
      <c r="L46" s="36">
        <v>-6.8015420000000004</v>
      </c>
      <c r="M46" s="36">
        <v>-9.5349749999999993</v>
      </c>
      <c r="N46" s="36">
        <v>-11.792277</v>
      </c>
      <c r="O46" s="36">
        <v>-33.181516999999999</v>
      </c>
      <c r="P46" s="36">
        <v>-13.818852</v>
      </c>
      <c r="Q46" s="36">
        <v>-15.720689</v>
      </c>
      <c r="R46" s="36">
        <v>-14.504232</v>
      </c>
      <c r="S46" s="36">
        <v>-15.605318</v>
      </c>
      <c r="T46" s="36">
        <f t="shared" si="9"/>
        <v>-59.649090999999999</v>
      </c>
      <c r="U46" s="40">
        <v>0</v>
      </c>
      <c r="V46" s="40">
        <v>0</v>
      </c>
      <c r="W46" s="40">
        <v>0</v>
      </c>
      <c r="X46" s="40">
        <v>0</v>
      </c>
      <c r="Y46" s="131">
        <f t="shared" si="10"/>
        <v>0</v>
      </c>
      <c r="Z46" s="40">
        <v>0</v>
      </c>
      <c r="AA46" s="40">
        <v>0</v>
      </c>
      <c r="AB46" s="40">
        <v>0</v>
      </c>
      <c r="AC46" s="40">
        <v>0</v>
      </c>
      <c r="AD46" s="131">
        <f t="shared" si="11"/>
        <v>0</v>
      </c>
    </row>
    <row r="47" spans="3:30" x14ac:dyDescent="0.2">
      <c r="C47" s="32" t="s">
        <v>139</v>
      </c>
      <c r="D47" s="33">
        <f>SUM(D29:D46,D27)</f>
        <v>38.544204000000008</v>
      </c>
      <c r="E47" s="33">
        <f t="shared" ref="E47:R47" si="12">SUM(E29:E46,E27)</f>
        <v>152.20235800000006</v>
      </c>
      <c r="F47" s="33">
        <f t="shared" si="12"/>
        <v>18.803925999999997</v>
      </c>
      <c r="G47" s="33">
        <f t="shared" si="12"/>
        <v>2.9603680000000043</v>
      </c>
      <c r="H47" s="33">
        <f t="shared" si="12"/>
        <v>9.2821870000000004</v>
      </c>
      <c r="I47" s="33">
        <f t="shared" si="12"/>
        <v>-2.4518569999999977</v>
      </c>
      <c r="J47" s="33">
        <f t="shared" si="12"/>
        <v>28.594623999999996</v>
      </c>
      <c r="K47" s="33">
        <f t="shared" si="12"/>
        <v>2.3045070000000081</v>
      </c>
      <c r="L47" s="33">
        <f t="shared" si="12"/>
        <v>18.389469000000005</v>
      </c>
      <c r="M47" s="33">
        <f t="shared" si="12"/>
        <v>26.220514999999988</v>
      </c>
      <c r="N47" s="33">
        <f t="shared" si="12"/>
        <v>35.605435</v>
      </c>
      <c r="O47" s="33">
        <f t="shared" si="12"/>
        <v>82.51992599999997</v>
      </c>
      <c r="P47" s="33">
        <f t="shared" si="12"/>
        <v>81.220247999999998</v>
      </c>
      <c r="Q47" s="33">
        <f t="shared" si="12"/>
        <v>32.966050000000003</v>
      </c>
      <c r="R47" s="33">
        <f t="shared" si="12"/>
        <v>55.999811999999984</v>
      </c>
      <c r="S47" s="33">
        <f t="shared" ref="S47:AD47" si="13">SUM(S29:S46,S27)</f>
        <v>3.8460000000000036</v>
      </c>
      <c r="T47" s="33">
        <f t="shared" si="13"/>
        <v>174.03211000000005</v>
      </c>
      <c r="U47" s="33">
        <f t="shared" si="13"/>
        <v>53.702410515125891</v>
      </c>
      <c r="V47" s="33">
        <f t="shared" si="13"/>
        <v>41.160341754615651</v>
      </c>
      <c r="W47" s="33">
        <f t="shared" si="13"/>
        <v>38.353958884516388</v>
      </c>
      <c r="X47" s="33">
        <f t="shared" si="13"/>
        <v>69.626337014417132</v>
      </c>
      <c r="Y47" s="33">
        <f t="shared" si="13"/>
        <v>202.84304816867504</v>
      </c>
      <c r="Z47" s="33">
        <f t="shared" si="13"/>
        <v>72.548625144317867</v>
      </c>
      <c r="AA47" s="33">
        <f t="shared" si="13"/>
        <v>64.641825274218604</v>
      </c>
      <c r="AB47" s="33">
        <f t="shared" si="13"/>
        <v>60.497367404119352</v>
      </c>
      <c r="AC47" s="33">
        <f t="shared" si="13"/>
        <v>99.534171534020118</v>
      </c>
      <c r="AD47" s="33">
        <f t="shared" si="13"/>
        <v>297.22198935667598</v>
      </c>
    </row>
    <row r="48" spans="3:30" ht="5.0999999999999996" customHeight="1" x14ac:dyDescent="0.2">
      <c r="D48" s="37"/>
      <c r="E48" s="37"/>
      <c r="F48" s="37"/>
      <c r="G48" s="37"/>
      <c r="H48" s="37"/>
      <c r="I48" s="37"/>
      <c r="J48" s="37"/>
      <c r="K48" s="37"/>
      <c r="L48" s="37"/>
      <c r="M48" s="37"/>
      <c r="N48" s="37"/>
      <c r="O48" s="37"/>
      <c r="P48" s="37"/>
      <c r="Q48" s="37"/>
      <c r="R48" s="37"/>
      <c r="S48" s="37"/>
      <c r="T48" s="37"/>
    </row>
    <row r="49" spans="3:30" x14ac:dyDescent="0.2">
      <c r="C49" s="17" t="s">
        <v>122</v>
      </c>
      <c r="D49" s="36">
        <v>-1.440761</v>
      </c>
      <c r="E49" s="36">
        <v>-5.2265670000000002</v>
      </c>
      <c r="F49" s="36">
        <v>0.35593000000000002</v>
      </c>
      <c r="G49" s="36">
        <v>3.3051970000000002</v>
      </c>
      <c r="H49" s="36">
        <v>1.0353680000000001</v>
      </c>
      <c r="I49" s="36">
        <v>1.297023</v>
      </c>
      <c r="J49" s="36">
        <v>5.9935180000000008</v>
      </c>
      <c r="K49" s="36">
        <v>1.070101</v>
      </c>
      <c r="L49" s="36">
        <v>-3.1472660000000001</v>
      </c>
      <c r="M49" s="36">
        <v>2.7684739999999999</v>
      </c>
      <c r="N49" s="36">
        <v>-7.0836999999999997E-2</v>
      </c>
      <c r="O49" s="36">
        <v>0.62047199999999991</v>
      </c>
      <c r="P49" s="36">
        <v>0</v>
      </c>
      <c r="Q49" s="36">
        <v>0</v>
      </c>
      <c r="R49" s="36">
        <v>0</v>
      </c>
      <c r="S49" s="36">
        <v>0</v>
      </c>
      <c r="T49" s="36">
        <f t="shared" ref="T49:T55" si="14">+SUM(P49:S49)</f>
        <v>0</v>
      </c>
      <c r="U49" s="40">
        <v>0</v>
      </c>
      <c r="V49" s="40">
        <v>0</v>
      </c>
      <c r="W49" s="40">
        <v>0</v>
      </c>
      <c r="X49" s="40">
        <v>0</v>
      </c>
      <c r="Y49" s="131">
        <f t="shared" ref="Y49:Y55" si="15">+SUM(U49:X49)</f>
        <v>0</v>
      </c>
      <c r="Z49" s="40">
        <v>0</v>
      </c>
      <c r="AA49" s="40">
        <v>0</v>
      </c>
      <c r="AB49" s="40">
        <v>0</v>
      </c>
      <c r="AC49" s="40">
        <v>0</v>
      </c>
      <c r="AD49" s="131">
        <f t="shared" ref="AD49:AD55" si="16">+SUM(Z49:AC49)</f>
        <v>0</v>
      </c>
    </row>
    <row r="50" spans="3:30" x14ac:dyDescent="0.2">
      <c r="C50" s="17" t="s">
        <v>123</v>
      </c>
      <c r="D50" s="36">
        <v>-2.1897E-2</v>
      </c>
      <c r="E50" s="36">
        <v>-1.0189999999999999E-3</v>
      </c>
      <c r="F50" s="36">
        <v>0</v>
      </c>
      <c r="G50" s="36">
        <v>-0.02</v>
      </c>
      <c r="H50" s="36">
        <v>0</v>
      </c>
      <c r="I50" s="36">
        <v>0</v>
      </c>
      <c r="J50" s="36">
        <v>-0.02</v>
      </c>
      <c r="K50" s="36"/>
      <c r="L50" s="36">
        <v>0</v>
      </c>
      <c r="M50" s="36">
        <v>0</v>
      </c>
      <c r="N50" s="36">
        <v>0</v>
      </c>
      <c r="O50" s="36">
        <v>0</v>
      </c>
      <c r="P50" s="36">
        <v>0</v>
      </c>
      <c r="Q50" s="36">
        <v>0</v>
      </c>
      <c r="R50" s="36">
        <v>0</v>
      </c>
      <c r="S50" s="36">
        <v>0</v>
      </c>
      <c r="T50" s="36">
        <f t="shared" si="14"/>
        <v>0</v>
      </c>
      <c r="U50" s="40">
        <v>0</v>
      </c>
      <c r="V50" s="40">
        <v>0</v>
      </c>
      <c r="W50" s="40">
        <v>0</v>
      </c>
      <c r="X50" s="40">
        <v>0</v>
      </c>
      <c r="Y50" s="131">
        <f t="shared" si="15"/>
        <v>0</v>
      </c>
      <c r="Z50" s="40">
        <v>0</v>
      </c>
      <c r="AA50" s="40">
        <v>0</v>
      </c>
      <c r="AB50" s="40">
        <v>0</v>
      </c>
      <c r="AC50" s="40">
        <v>0</v>
      </c>
      <c r="AD50" s="131">
        <f t="shared" si="16"/>
        <v>0</v>
      </c>
    </row>
    <row r="51" spans="3:30" x14ac:dyDescent="0.2">
      <c r="C51" s="17" t="s">
        <v>124</v>
      </c>
      <c r="D51" s="36">
        <v>0</v>
      </c>
      <c r="E51" s="36">
        <v>0</v>
      </c>
      <c r="F51" s="36">
        <v>0</v>
      </c>
      <c r="G51" s="36">
        <v>82.175663999999998</v>
      </c>
      <c r="H51" s="36">
        <v>41.177911000000002</v>
      </c>
      <c r="I51" s="36">
        <v>177.58499900000001</v>
      </c>
      <c r="J51" s="36">
        <v>300.93857400000002</v>
      </c>
      <c r="K51" s="36"/>
      <c r="L51" s="36">
        <v>0</v>
      </c>
      <c r="M51" s="36">
        <v>0</v>
      </c>
      <c r="N51" s="36">
        <v>0</v>
      </c>
      <c r="O51" s="36">
        <v>0</v>
      </c>
      <c r="P51" s="36">
        <v>0</v>
      </c>
      <c r="Q51" s="36">
        <v>0</v>
      </c>
      <c r="R51" s="36">
        <v>0</v>
      </c>
      <c r="S51" s="36">
        <v>0</v>
      </c>
      <c r="T51" s="36">
        <f t="shared" si="14"/>
        <v>0</v>
      </c>
      <c r="U51" s="40">
        <v>0</v>
      </c>
      <c r="V51" s="40">
        <v>0</v>
      </c>
      <c r="W51" s="40">
        <v>0</v>
      </c>
      <c r="X51" s="40">
        <v>0</v>
      </c>
      <c r="Y51" s="131">
        <f t="shared" si="15"/>
        <v>0</v>
      </c>
      <c r="Z51" s="40">
        <v>0</v>
      </c>
      <c r="AA51" s="40">
        <v>0</v>
      </c>
      <c r="AB51" s="40">
        <v>0</v>
      </c>
      <c r="AC51" s="40">
        <v>0</v>
      </c>
      <c r="AD51" s="131">
        <f t="shared" si="16"/>
        <v>0</v>
      </c>
    </row>
    <row r="52" spans="3:30" x14ac:dyDescent="0.2">
      <c r="C52" s="17" t="s">
        <v>125</v>
      </c>
      <c r="D52" s="36">
        <v>-0.41</v>
      </c>
      <c r="E52" s="36">
        <v>-4.9913809999999996</v>
      </c>
      <c r="F52" s="36">
        <v>2.5592E-2</v>
      </c>
      <c r="G52" s="36">
        <v>1.0184420000000001</v>
      </c>
      <c r="H52" s="36">
        <v>-4.3579999999999999E-3</v>
      </c>
      <c r="I52" s="36">
        <v>1.2262E-2</v>
      </c>
      <c r="J52" s="36">
        <v>1.051938</v>
      </c>
      <c r="K52" s="36">
        <v>-0.44514599999999999</v>
      </c>
      <c r="L52" s="36">
        <v>0.81102600000000002</v>
      </c>
      <c r="M52" s="36">
        <v>0.237848</v>
      </c>
      <c r="N52" s="36">
        <v>-0.182064</v>
      </c>
      <c r="O52" s="36">
        <v>0.42166400000000004</v>
      </c>
      <c r="P52" s="36">
        <v>-0.1211</v>
      </c>
      <c r="Q52" s="36">
        <v>1.129515</v>
      </c>
      <c r="R52" s="36">
        <v>0.35047899999999998</v>
      </c>
      <c r="S52" s="36">
        <v>0.67403299999999999</v>
      </c>
      <c r="T52" s="36">
        <f t="shared" si="14"/>
        <v>2.0329269999999999</v>
      </c>
      <c r="U52" s="40">
        <v>0</v>
      </c>
      <c r="V52" s="40">
        <v>0</v>
      </c>
      <c r="W52" s="40">
        <v>0</v>
      </c>
      <c r="X52" s="40">
        <v>0</v>
      </c>
      <c r="Y52" s="131">
        <f t="shared" si="15"/>
        <v>0</v>
      </c>
      <c r="Z52" s="40">
        <v>0</v>
      </c>
      <c r="AA52" s="40">
        <v>0</v>
      </c>
      <c r="AB52" s="40">
        <v>0</v>
      </c>
      <c r="AC52" s="40">
        <v>0</v>
      </c>
      <c r="AD52" s="131">
        <f t="shared" si="16"/>
        <v>0</v>
      </c>
    </row>
    <row r="53" spans="3:30" x14ac:dyDescent="0.2">
      <c r="C53" s="17" t="s">
        <v>126</v>
      </c>
      <c r="D53" s="36">
        <v>-0.282943</v>
      </c>
      <c r="E53" s="36">
        <v>-1.403289</v>
      </c>
      <c r="F53" s="36">
        <v>-0.375</v>
      </c>
      <c r="G53" s="36">
        <v>-0.37939800000000001</v>
      </c>
      <c r="H53" s="36">
        <v>-0.57390300000000005</v>
      </c>
      <c r="I53" s="36">
        <v>-0.593171</v>
      </c>
      <c r="J53" s="36">
        <v>-1.9214720000000001</v>
      </c>
      <c r="K53" s="36">
        <v>-0.58150999999999997</v>
      </c>
      <c r="L53" s="36">
        <v>-0.69324799999999998</v>
      </c>
      <c r="M53" s="36">
        <v>-7.6794000000000001E-2</v>
      </c>
      <c r="N53" s="36">
        <v>-0.185027</v>
      </c>
      <c r="O53" s="36">
        <v>-1.5365789999999999</v>
      </c>
      <c r="P53" s="36">
        <v>-0.10012699999999999</v>
      </c>
      <c r="Q53" s="36">
        <v>-0.20416300000000001</v>
      </c>
      <c r="R53" s="36">
        <v>-1.114789</v>
      </c>
      <c r="S53" s="36">
        <v>-1.886973</v>
      </c>
      <c r="T53" s="36">
        <f t="shared" si="14"/>
        <v>-3.3060520000000002</v>
      </c>
      <c r="U53" s="40">
        <v>-0.5</v>
      </c>
      <c r="V53" s="40">
        <v>-0.5</v>
      </c>
      <c r="W53" s="40">
        <v>-0.5</v>
      </c>
      <c r="X53" s="40">
        <v>-0.5</v>
      </c>
      <c r="Y53" s="131">
        <f t="shared" si="15"/>
        <v>-2</v>
      </c>
      <c r="Z53" s="40">
        <v>-0.5</v>
      </c>
      <c r="AA53" s="40">
        <v>-0.5</v>
      </c>
      <c r="AB53" s="40">
        <v>-0.5</v>
      </c>
      <c r="AC53" s="40">
        <v>-0.5</v>
      </c>
      <c r="AD53" s="131">
        <f t="shared" si="16"/>
        <v>-2</v>
      </c>
    </row>
    <row r="54" spans="3:30" x14ac:dyDescent="0.2">
      <c r="C54" s="17" t="s">
        <v>127</v>
      </c>
      <c r="D54" s="36">
        <v>-443.35328299999998</v>
      </c>
      <c r="E54" s="36">
        <v>-172.16539599999999</v>
      </c>
      <c r="F54" s="36">
        <v>-1.483989</v>
      </c>
      <c r="G54" s="36">
        <v>-0.36805700000000002</v>
      </c>
      <c r="H54" s="36">
        <v>-18.122315</v>
      </c>
      <c r="I54" s="36">
        <v>-0.39329199999999997</v>
      </c>
      <c r="J54" s="36">
        <v>-20.367653000000001</v>
      </c>
      <c r="K54" s="36">
        <v>-71.541437999999999</v>
      </c>
      <c r="L54" s="36">
        <v>-106.411141</v>
      </c>
      <c r="M54" s="36">
        <v>-0.64874399999999999</v>
      </c>
      <c r="N54" s="36">
        <v>0</v>
      </c>
      <c r="O54" s="36">
        <v>-178.60132300000001</v>
      </c>
      <c r="P54" s="36">
        <v>0</v>
      </c>
      <c r="Q54" s="36">
        <v>0</v>
      </c>
      <c r="R54" s="36">
        <v>0</v>
      </c>
      <c r="S54" s="36"/>
      <c r="T54" s="36">
        <f t="shared" si="14"/>
        <v>0</v>
      </c>
      <c r="U54" s="40">
        <v>0</v>
      </c>
      <c r="V54" s="40">
        <v>0</v>
      </c>
      <c r="W54" s="40">
        <v>0</v>
      </c>
      <c r="X54" s="40">
        <v>0</v>
      </c>
      <c r="Y54" s="131">
        <f t="shared" si="15"/>
        <v>0</v>
      </c>
      <c r="Z54" s="40">
        <v>0</v>
      </c>
      <c r="AA54" s="40">
        <v>0</v>
      </c>
      <c r="AB54" s="40">
        <v>0</v>
      </c>
      <c r="AC54" s="40">
        <v>0</v>
      </c>
      <c r="AD54" s="131">
        <f t="shared" si="16"/>
        <v>0</v>
      </c>
    </row>
    <row r="55" spans="3:30" x14ac:dyDescent="0.2">
      <c r="C55" s="17" t="s">
        <v>128</v>
      </c>
      <c r="D55" s="36">
        <v>0.13002</v>
      </c>
      <c r="E55" s="36">
        <v>5.0499000000000002E-2</v>
      </c>
      <c r="F55" s="36">
        <v>1.431E-3</v>
      </c>
      <c r="G55" s="36">
        <v>1.1329999999999999E-3</v>
      </c>
      <c r="H55" s="36">
        <v>5.9100000000000005E-4</v>
      </c>
      <c r="I55" s="36">
        <v>3.1500000000000001E-4</v>
      </c>
      <c r="J55" s="36">
        <v>3.47E-3</v>
      </c>
      <c r="K55" s="36">
        <v>2.9100000000000003E-4</v>
      </c>
      <c r="L55" s="36">
        <v>3.748E-3</v>
      </c>
      <c r="M55" s="36">
        <v>3.0644999999999999E-2</v>
      </c>
      <c r="N55" s="36">
        <v>0.34095199999999998</v>
      </c>
      <c r="O55" s="36">
        <v>0.37563599999999997</v>
      </c>
      <c r="P55" s="36">
        <v>0.54466599999999998</v>
      </c>
      <c r="Q55" s="36">
        <v>0.60852200000000001</v>
      </c>
      <c r="R55" s="36">
        <v>0.569326</v>
      </c>
      <c r="S55" s="36">
        <v>0.51119700000000001</v>
      </c>
      <c r="T55" s="36">
        <f t="shared" si="14"/>
        <v>2.233711</v>
      </c>
      <c r="U55" s="40">
        <v>0</v>
      </c>
      <c r="V55" s="40">
        <v>0</v>
      </c>
      <c r="W55" s="40">
        <v>0</v>
      </c>
      <c r="X55" s="40">
        <v>0</v>
      </c>
      <c r="Y55" s="131">
        <f t="shared" si="15"/>
        <v>0</v>
      </c>
      <c r="Z55" s="40">
        <v>0</v>
      </c>
      <c r="AA55" s="40">
        <v>0</v>
      </c>
      <c r="AB55" s="40">
        <v>0</v>
      </c>
      <c r="AC55" s="40">
        <v>0</v>
      </c>
      <c r="AD55" s="131">
        <f t="shared" si="16"/>
        <v>0</v>
      </c>
    </row>
    <row r="56" spans="3:30" x14ac:dyDescent="0.2">
      <c r="C56" s="32" t="s">
        <v>138</v>
      </c>
      <c r="D56" s="33">
        <f>+SUM(D49:D55)</f>
        <v>-445.37886399999996</v>
      </c>
      <c r="E56" s="33">
        <f t="shared" ref="E56:R56" si="17">+SUM(E49:E55)</f>
        <v>-183.73715299999998</v>
      </c>
      <c r="F56" s="33">
        <f t="shared" si="17"/>
        <v>-1.4760359999999999</v>
      </c>
      <c r="G56" s="33">
        <f t="shared" si="17"/>
        <v>85.732980999999995</v>
      </c>
      <c r="H56" s="33">
        <f t="shared" si="17"/>
        <v>23.513293999999995</v>
      </c>
      <c r="I56" s="33">
        <f t="shared" si="17"/>
        <v>177.90813599999998</v>
      </c>
      <c r="J56" s="33">
        <f t="shared" si="17"/>
        <v>285.67837500000002</v>
      </c>
      <c r="K56" s="33">
        <f t="shared" si="17"/>
        <v>-71.49770199999999</v>
      </c>
      <c r="L56" s="33">
        <f t="shared" si="17"/>
        <v>-109.436881</v>
      </c>
      <c r="M56" s="33">
        <f t="shared" si="17"/>
        <v>2.3114289999999995</v>
      </c>
      <c r="N56" s="33">
        <f t="shared" si="17"/>
        <v>-9.6976000000000007E-2</v>
      </c>
      <c r="O56" s="33">
        <f t="shared" si="17"/>
        <v>-178.72013000000001</v>
      </c>
      <c r="P56" s="33">
        <f t="shared" si="17"/>
        <v>0.32343899999999998</v>
      </c>
      <c r="Q56" s="33">
        <f t="shared" si="17"/>
        <v>1.533874</v>
      </c>
      <c r="R56" s="33">
        <f t="shared" si="17"/>
        <v>-0.19498400000000005</v>
      </c>
      <c r="S56" s="33">
        <f>+SUM(S49:S55)</f>
        <v>-0.70174300000000012</v>
      </c>
      <c r="T56" s="33">
        <f t="shared" ref="T56:AD56" si="18">+SUM(T49:T55)</f>
        <v>0.96058599999999972</v>
      </c>
      <c r="U56" s="33">
        <f t="shared" si="18"/>
        <v>-0.5</v>
      </c>
      <c r="V56" s="33">
        <f t="shared" si="18"/>
        <v>-0.5</v>
      </c>
      <c r="W56" s="33">
        <f t="shared" si="18"/>
        <v>-0.5</v>
      </c>
      <c r="X56" s="33">
        <f t="shared" si="18"/>
        <v>-0.5</v>
      </c>
      <c r="Y56" s="33">
        <f t="shared" si="18"/>
        <v>-2</v>
      </c>
      <c r="Z56" s="33">
        <f t="shared" si="18"/>
        <v>-0.5</v>
      </c>
      <c r="AA56" s="33">
        <f t="shared" si="18"/>
        <v>-0.5</v>
      </c>
      <c r="AB56" s="33">
        <f t="shared" si="18"/>
        <v>-0.5</v>
      </c>
      <c r="AC56" s="33">
        <f t="shared" si="18"/>
        <v>-0.5</v>
      </c>
      <c r="AD56" s="33">
        <f t="shared" si="18"/>
        <v>-2</v>
      </c>
    </row>
    <row r="57" spans="3:30" ht="5.0999999999999996" customHeight="1" x14ac:dyDescent="0.2">
      <c r="D57" s="37"/>
      <c r="E57" s="37"/>
      <c r="F57" s="37"/>
      <c r="G57" s="37"/>
      <c r="H57" s="37"/>
      <c r="I57" s="37"/>
      <c r="J57" s="37"/>
      <c r="K57" s="37"/>
      <c r="L57" s="37"/>
      <c r="M57" s="37"/>
      <c r="N57" s="37"/>
      <c r="O57" s="37"/>
      <c r="P57" s="37"/>
      <c r="Q57" s="37"/>
      <c r="R57" s="37"/>
      <c r="S57" s="37"/>
      <c r="T57" s="37"/>
    </row>
    <row r="58" spans="3:30" x14ac:dyDescent="0.2">
      <c r="C58" s="17" t="s">
        <v>129</v>
      </c>
      <c r="D58" s="36">
        <v>456.39049999999997</v>
      </c>
      <c r="E58" s="36">
        <v>277.67725000000002</v>
      </c>
      <c r="F58" s="36">
        <v>0</v>
      </c>
      <c r="G58" s="36">
        <v>0</v>
      </c>
      <c r="H58" s="36">
        <v>0</v>
      </c>
      <c r="I58" s="36">
        <v>0</v>
      </c>
      <c r="J58" s="36">
        <v>0</v>
      </c>
      <c r="K58" s="36">
        <v>72.75</v>
      </c>
      <c r="L58" s="36">
        <v>233.548</v>
      </c>
      <c r="M58" s="36">
        <v>0</v>
      </c>
      <c r="N58" s="36">
        <v>0</v>
      </c>
      <c r="O58" s="36">
        <v>306.298</v>
      </c>
      <c r="P58" s="36">
        <v>0</v>
      </c>
      <c r="Q58" s="36">
        <v>113</v>
      </c>
      <c r="R58" s="36">
        <v>84</v>
      </c>
      <c r="S58" s="36">
        <v>0</v>
      </c>
      <c r="T58" s="36">
        <f t="shared" ref="T58:T66" si="19">+SUM(P58:S58)</f>
        <v>197</v>
      </c>
      <c r="U58" s="40">
        <v>0</v>
      </c>
      <c r="V58" s="40">
        <v>0</v>
      </c>
      <c r="W58" s="40">
        <v>0</v>
      </c>
      <c r="X58" s="40">
        <v>0</v>
      </c>
      <c r="Y58" s="131">
        <f t="shared" ref="Y58:Y66" si="20">+SUM(U58:X58)</f>
        <v>0</v>
      </c>
      <c r="Z58" s="40">
        <v>0</v>
      </c>
      <c r="AA58" s="40">
        <v>0</v>
      </c>
      <c r="AB58" s="40">
        <v>0</v>
      </c>
      <c r="AC58" s="40">
        <v>0</v>
      </c>
      <c r="AD58" s="131">
        <f>+SUM(Z58:AC58)</f>
        <v>0</v>
      </c>
    </row>
    <row r="59" spans="3:30" x14ac:dyDescent="0.2">
      <c r="C59" s="17" t="s">
        <v>130</v>
      </c>
      <c r="D59" s="36">
        <v>-56.045957999999999</v>
      </c>
      <c r="E59" s="36">
        <v>-175.90820199999999</v>
      </c>
      <c r="F59" s="36">
        <v>-13.79524</v>
      </c>
      <c r="G59" s="36">
        <v>-63.317233999999999</v>
      </c>
      <c r="H59" s="36">
        <v>-38.703487000000003</v>
      </c>
      <c r="I59" s="36">
        <v>-145.89773299999999</v>
      </c>
      <c r="J59" s="36">
        <v>-261.71369399999998</v>
      </c>
      <c r="K59" s="36">
        <v>-10.799215</v>
      </c>
      <c r="L59" s="36">
        <v>-108.761466</v>
      </c>
      <c r="M59" s="36">
        <v>-12.366961</v>
      </c>
      <c r="N59" s="36">
        <v>-12.366961999999999</v>
      </c>
      <c r="O59" s="36">
        <v>-144.29460399999999</v>
      </c>
      <c r="P59" s="36">
        <v>-12.263738999999999</v>
      </c>
      <c r="Q59" s="36">
        <v>-126.105906</v>
      </c>
      <c r="R59" s="36">
        <v>-93.973865000000004</v>
      </c>
      <c r="S59" s="36">
        <v>-11.011654999999999</v>
      </c>
      <c r="T59" s="36">
        <f t="shared" si="19"/>
        <v>-243.35516499999997</v>
      </c>
      <c r="U59" s="40">
        <f>-$T$104/4</f>
        <v>-19.487205750000001</v>
      </c>
      <c r="V59" s="40">
        <f>-$T$104/4</f>
        <v>-19.487205750000001</v>
      </c>
      <c r="W59" s="40">
        <f>-$T$104/4</f>
        <v>-19.487205750000001</v>
      </c>
      <c r="X59" s="40">
        <f>-$T$104/4</f>
        <v>-19.487205750000001</v>
      </c>
      <c r="Y59" s="131">
        <f t="shared" si="20"/>
        <v>-77.948823000000004</v>
      </c>
      <c r="Z59" s="40">
        <f>-$T$104/4</f>
        <v>-19.487205750000001</v>
      </c>
      <c r="AA59" s="40">
        <f>-$T$104/4</f>
        <v>-19.487205750000001</v>
      </c>
      <c r="AB59" s="40">
        <f>-$T$104/4</f>
        <v>-19.487205750000001</v>
      </c>
      <c r="AC59" s="40">
        <f>-$T$104/4</f>
        <v>-19.487205750000001</v>
      </c>
      <c r="AD59" s="131">
        <f t="shared" ref="AD59:AD66" si="21">+SUM(Z59:AC59)</f>
        <v>-77.948823000000004</v>
      </c>
    </row>
    <row r="60" spans="3:30" x14ac:dyDescent="0.2">
      <c r="C60" s="17" t="s">
        <v>131</v>
      </c>
      <c r="D60" s="36">
        <v>0</v>
      </c>
      <c r="E60" s="36">
        <v>0</v>
      </c>
      <c r="F60" s="36">
        <v>0</v>
      </c>
      <c r="G60" s="36">
        <v>-24.281938</v>
      </c>
      <c r="H60" s="36">
        <v>0</v>
      </c>
      <c r="I60" s="36">
        <v>-10.027079000000001</v>
      </c>
      <c r="J60" s="36">
        <v>-34.309016999999997</v>
      </c>
      <c r="K60" s="36">
        <v>0</v>
      </c>
      <c r="L60" s="36">
        <v>0</v>
      </c>
      <c r="M60" s="36">
        <v>-9.7968299999999999</v>
      </c>
      <c r="N60" s="36">
        <v>-9.7981669999999994</v>
      </c>
      <c r="O60" s="36">
        <v>-19.594996999999999</v>
      </c>
      <c r="P60" s="36">
        <v>-40.242635</v>
      </c>
      <c r="Q60" s="36">
        <v>-51.510573000000001</v>
      </c>
      <c r="R60" s="36">
        <v>-48.291162</v>
      </c>
      <c r="S60" s="36">
        <v>-19.316465000000001</v>
      </c>
      <c r="T60" s="36">
        <f t="shared" si="19"/>
        <v>-159.36083500000001</v>
      </c>
      <c r="U60" s="40">
        <v>0</v>
      </c>
      <c r="V60" s="40">
        <v>0</v>
      </c>
      <c r="W60" s="40">
        <v>0</v>
      </c>
      <c r="X60" s="40">
        <v>0</v>
      </c>
      <c r="Y60" s="131">
        <f t="shared" si="20"/>
        <v>0</v>
      </c>
      <c r="Z60" s="40">
        <v>0</v>
      </c>
      <c r="AA60" s="40">
        <v>0</v>
      </c>
      <c r="AB60" s="40">
        <v>0</v>
      </c>
      <c r="AC60" s="40">
        <v>0</v>
      </c>
      <c r="AD60" s="131">
        <f t="shared" si="21"/>
        <v>0</v>
      </c>
    </row>
    <row r="61" spans="3:30" x14ac:dyDescent="0.2">
      <c r="C61" s="17" t="s">
        <v>132</v>
      </c>
      <c r="D61" s="36">
        <v>-1.889769</v>
      </c>
      <c r="E61" s="36">
        <v>-12.743952</v>
      </c>
      <c r="F61" s="36">
        <v>5.9339000000000003E-2</v>
      </c>
      <c r="G61" s="36">
        <v>0.55261099999999996</v>
      </c>
      <c r="H61" s="36">
        <v>-3.7350000000000001E-2</v>
      </c>
      <c r="I61" s="36">
        <v>-0.25624999999999998</v>
      </c>
      <c r="J61" s="36">
        <v>0.31835000000000002</v>
      </c>
      <c r="K61" s="36">
        <v>2.6435849999999999</v>
      </c>
      <c r="L61" s="36">
        <v>0.59526900000000005</v>
      </c>
      <c r="M61" s="36">
        <v>-3.207754</v>
      </c>
      <c r="N61" s="36">
        <v>-0.72925300000000004</v>
      </c>
      <c r="O61" s="36">
        <v>-0.69815300000000013</v>
      </c>
      <c r="P61" s="36">
        <v>0</v>
      </c>
      <c r="Q61" s="36">
        <v>0</v>
      </c>
      <c r="R61" s="36">
        <v>0</v>
      </c>
      <c r="S61" s="36">
        <v>0</v>
      </c>
      <c r="T61" s="36">
        <f t="shared" si="19"/>
        <v>0</v>
      </c>
      <c r="U61" s="40">
        <v>0</v>
      </c>
      <c r="V61" s="40">
        <v>0</v>
      </c>
      <c r="W61" s="40">
        <v>0</v>
      </c>
      <c r="X61" s="40">
        <v>0</v>
      </c>
      <c r="Y61" s="131">
        <f t="shared" si="20"/>
        <v>0</v>
      </c>
      <c r="Z61" s="40">
        <v>0</v>
      </c>
      <c r="AA61" s="40">
        <v>0</v>
      </c>
      <c r="AB61" s="40">
        <v>0</v>
      </c>
      <c r="AC61" s="40">
        <v>0</v>
      </c>
      <c r="AD61" s="131">
        <f t="shared" si="21"/>
        <v>0</v>
      </c>
    </row>
    <row r="62" spans="3:30" x14ac:dyDescent="0.2">
      <c r="C62" s="17" t="s">
        <v>133</v>
      </c>
      <c r="D62" s="36">
        <v>-9.6732549999999993</v>
      </c>
      <c r="E62" s="36">
        <v>-1.7659609999999999</v>
      </c>
      <c r="F62" s="36">
        <v>0</v>
      </c>
      <c r="G62" s="36">
        <v>0</v>
      </c>
      <c r="H62" s="36">
        <v>0</v>
      </c>
      <c r="I62" s="36">
        <v>0</v>
      </c>
      <c r="J62" s="36">
        <v>0</v>
      </c>
      <c r="K62" s="36">
        <v>0</v>
      </c>
      <c r="L62" s="36">
        <v>-1.7328600000000001</v>
      </c>
      <c r="M62" s="36">
        <v>0</v>
      </c>
      <c r="N62" s="36">
        <v>0</v>
      </c>
      <c r="O62" s="36">
        <v>-1.7328600000000001</v>
      </c>
      <c r="P62" s="36">
        <v>0</v>
      </c>
      <c r="Q62" s="36">
        <v>-0.67800000000000005</v>
      </c>
      <c r="R62" s="36">
        <v>-0.67200000000000004</v>
      </c>
      <c r="S62" s="36">
        <v>0</v>
      </c>
      <c r="T62" s="36">
        <f t="shared" si="19"/>
        <v>-1.35</v>
      </c>
      <c r="U62" s="40">
        <v>0</v>
      </c>
      <c r="V62" s="40">
        <v>0</v>
      </c>
      <c r="W62" s="40">
        <v>0</v>
      </c>
      <c r="X62" s="40">
        <v>0</v>
      </c>
      <c r="Y62" s="131">
        <f t="shared" si="20"/>
        <v>0</v>
      </c>
      <c r="Z62" s="40">
        <v>0</v>
      </c>
      <c r="AA62" s="40">
        <v>0</v>
      </c>
      <c r="AB62" s="40">
        <v>0</v>
      </c>
      <c r="AC62" s="40">
        <v>0</v>
      </c>
      <c r="AD62" s="131">
        <f t="shared" si="21"/>
        <v>0</v>
      </c>
    </row>
    <row r="63" spans="3:30" x14ac:dyDescent="0.2">
      <c r="C63" s="17" t="s">
        <v>134</v>
      </c>
      <c r="D63" s="36">
        <v>-1.0101549999999999</v>
      </c>
      <c r="E63" s="36">
        <v>-2.0581049999999999</v>
      </c>
      <c r="F63" s="36">
        <v>0</v>
      </c>
      <c r="G63" s="36">
        <v>0</v>
      </c>
      <c r="H63" s="36">
        <v>0</v>
      </c>
      <c r="I63" s="36">
        <v>-0.50353000000000003</v>
      </c>
      <c r="J63" s="36">
        <v>-0.50353000000000003</v>
      </c>
      <c r="K63" s="36">
        <v>-1.0121389999999999</v>
      </c>
      <c r="L63" s="36">
        <v>0</v>
      </c>
      <c r="M63" s="36">
        <v>0</v>
      </c>
      <c r="N63" s="36">
        <v>0</v>
      </c>
      <c r="O63" s="36">
        <v>-1.0121389999999999</v>
      </c>
      <c r="P63" s="36">
        <v>0</v>
      </c>
      <c r="Q63" s="36">
        <v>0</v>
      </c>
      <c r="R63" s="36">
        <v>0</v>
      </c>
      <c r="S63" s="36">
        <v>0</v>
      </c>
      <c r="T63" s="36">
        <f t="shared" si="19"/>
        <v>0</v>
      </c>
      <c r="U63" s="40">
        <v>0</v>
      </c>
      <c r="V63" s="40">
        <v>0</v>
      </c>
      <c r="W63" s="40">
        <v>0</v>
      </c>
      <c r="X63" s="40">
        <v>0</v>
      </c>
      <c r="Y63" s="131">
        <f t="shared" si="20"/>
        <v>0</v>
      </c>
      <c r="Z63" s="40">
        <v>0</v>
      </c>
      <c r="AA63" s="40">
        <v>0</v>
      </c>
      <c r="AB63" s="40">
        <v>0</v>
      </c>
      <c r="AC63" s="40">
        <v>0</v>
      </c>
      <c r="AD63" s="131">
        <f t="shared" si="21"/>
        <v>0</v>
      </c>
    </row>
    <row r="64" spans="3:30" x14ac:dyDescent="0.2">
      <c r="C64" s="17" t="s">
        <v>135</v>
      </c>
      <c r="D64" s="36">
        <v>0</v>
      </c>
      <c r="E64" s="36">
        <v>-43.723896000000003</v>
      </c>
      <c r="F64" s="36">
        <v>-3.2196859999999998</v>
      </c>
      <c r="G64" s="36">
        <v>0</v>
      </c>
      <c r="H64" s="36">
        <v>0</v>
      </c>
      <c r="I64" s="36">
        <v>0</v>
      </c>
      <c r="J64" s="36">
        <v>-3.2196859999999998</v>
      </c>
      <c r="K64" s="36">
        <v>0</v>
      </c>
      <c r="L64" s="36">
        <v>0</v>
      </c>
      <c r="M64" s="36">
        <v>0</v>
      </c>
      <c r="N64" s="36">
        <v>0</v>
      </c>
      <c r="O64" s="36">
        <v>0</v>
      </c>
      <c r="P64" s="36">
        <v>0</v>
      </c>
      <c r="Q64" s="36">
        <v>0</v>
      </c>
      <c r="R64" s="36">
        <v>0</v>
      </c>
      <c r="S64" s="36">
        <v>0</v>
      </c>
      <c r="T64" s="36">
        <f t="shared" si="19"/>
        <v>0</v>
      </c>
      <c r="U64" s="40">
        <f>-(U47+U56+SUM(U58:U63))</f>
        <v>-33.71520476512589</v>
      </c>
      <c r="V64" s="40">
        <f>-(V47+V56+SUM(V58:V63))</f>
        <v>-21.17313600461565</v>
      </c>
      <c r="W64" s="40">
        <f>-(W47+W56+SUM(W58:W63))</f>
        <v>-18.366753134516387</v>
      </c>
      <c r="X64" s="40">
        <f>-(X47+X56+SUM(X58:X63))</f>
        <v>-49.639131264417131</v>
      </c>
      <c r="Y64" s="131">
        <f t="shared" si="20"/>
        <v>-122.89422516867506</v>
      </c>
      <c r="Z64" s="40">
        <f>-(Z47+Z56+SUM(Z58:Z63))</f>
        <v>-52.561419394317866</v>
      </c>
      <c r="AA64" s="40">
        <f>-(AA47+AA56+SUM(AA58:AA63))</f>
        <v>-44.654619524218603</v>
      </c>
      <c r="AB64" s="40">
        <f>-(AB47+AB56+SUM(AB58:AB63))</f>
        <v>-40.510161654119351</v>
      </c>
      <c r="AC64" s="40">
        <f>-(AC47+AC56+SUM(AC58:AC63))</f>
        <v>-79.546965784020117</v>
      </c>
      <c r="AD64" s="131">
        <f t="shared" si="21"/>
        <v>-217.27316635667592</v>
      </c>
    </row>
    <row r="65" spans="3:30" x14ac:dyDescent="0.2">
      <c r="C65" s="17" t="s">
        <v>136</v>
      </c>
      <c r="D65" s="36">
        <v>15</v>
      </c>
      <c r="E65" s="36">
        <v>0</v>
      </c>
      <c r="F65" s="36">
        <v>0</v>
      </c>
      <c r="G65" s="36">
        <v>0</v>
      </c>
      <c r="H65" s="36">
        <v>0</v>
      </c>
      <c r="I65" s="36">
        <v>0</v>
      </c>
      <c r="J65" s="36">
        <v>0</v>
      </c>
      <c r="K65" s="36">
        <v>0</v>
      </c>
      <c r="L65" s="36">
        <v>0</v>
      </c>
      <c r="M65" s="36">
        <v>0</v>
      </c>
      <c r="N65" s="36">
        <v>0</v>
      </c>
      <c r="O65" s="36">
        <v>0</v>
      </c>
      <c r="P65" s="36">
        <v>0</v>
      </c>
      <c r="Q65" s="36">
        <v>0</v>
      </c>
      <c r="R65" s="36">
        <v>0</v>
      </c>
      <c r="S65" s="36">
        <v>0</v>
      </c>
      <c r="T65" s="36">
        <f t="shared" si="19"/>
        <v>0</v>
      </c>
      <c r="U65" s="40">
        <v>0</v>
      </c>
      <c r="V65" s="40">
        <v>0</v>
      </c>
      <c r="W65" s="40">
        <v>0</v>
      </c>
      <c r="X65" s="40">
        <v>0</v>
      </c>
      <c r="Y65" s="131">
        <f t="shared" si="20"/>
        <v>0</v>
      </c>
      <c r="Z65" s="40">
        <v>0</v>
      </c>
      <c r="AA65" s="40">
        <v>0</v>
      </c>
      <c r="AB65" s="40">
        <v>0</v>
      </c>
      <c r="AC65" s="40">
        <v>0</v>
      </c>
      <c r="AD65" s="131">
        <f t="shared" si="21"/>
        <v>0</v>
      </c>
    </row>
    <row r="66" spans="3:30" x14ac:dyDescent="0.2">
      <c r="C66" s="17" t="s">
        <v>137</v>
      </c>
      <c r="D66" s="36">
        <v>-0.62395900000000004</v>
      </c>
      <c r="E66" s="36">
        <v>0</v>
      </c>
      <c r="F66" s="36">
        <v>0</v>
      </c>
      <c r="G66" s="36">
        <v>0</v>
      </c>
      <c r="H66" s="36">
        <v>0</v>
      </c>
      <c r="I66" s="36">
        <v>0</v>
      </c>
      <c r="J66" s="36">
        <v>0</v>
      </c>
      <c r="K66" s="36">
        <v>0</v>
      </c>
      <c r="L66" s="36">
        <v>0</v>
      </c>
      <c r="M66" s="36">
        <v>0</v>
      </c>
      <c r="N66" s="36">
        <v>0</v>
      </c>
      <c r="O66" s="36">
        <v>0</v>
      </c>
      <c r="P66" s="36">
        <v>0</v>
      </c>
      <c r="Q66" s="36">
        <v>0</v>
      </c>
      <c r="R66" s="36">
        <v>0</v>
      </c>
      <c r="S66" s="36">
        <v>0</v>
      </c>
      <c r="T66" s="36">
        <f t="shared" si="19"/>
        <v>0</v>
      </c>
      <c r="U66" s="40">
        <v>0</v>
      </c>
      <c r="V66" s="40">
        <v>0</v>
      </c>
      <c r="W66" s="40">
        <v>0</v>
      </c>
      <c r="X66" s="40">
        <v>0</v>
      </c>
      <c r="Y66" s="131">
        <f t="shared" si="20"/>
        <v>0</v>
      </c>
      <c r="Z66" s="40">
        <v>0</v>
      </c>
      <c r="AA66" s="40">
        <v>0</v>
      </c>
      <c r="AB66" s="40">
        <v>0</v>
      </c>
      <c r="AC66" s="40">
        <v>0</v>
      </c>
      <c r="AD66" s="131">
        <f t="shared" si="21"/>
        <v>0</v>
      </c>
    </row>
    <row r="67" spans="3:30" x14ac:dyDescent="0.2">
      <c r="C67" s="32" t="s">
        <v>140</v>
      </c>
      <c r="D67" s="33">
        <f>SUM(D58:D66)</f>
        <v>402.14740399999999</v>
      </c>
      <c r="E67" s="33">
        <f t="shared" ref="E67:R67" si="22">SUM(E58:E66)</f>
        <v>41.477134000000014</v>
      </c>
      <c r="F67" s="33">
        <f t="shared" si="22"/>
        <v>-16.955587000000001</v>
      </c>
      <c r="G67" s="33">
        <f t="shared" si="22"/>
        <v>-87.046560999999997</v>
      </c>
      <c r="H67" s="33">
        <f t="shared" si="22"/>
        <v>-38.740837000000006</v>
      </c>
      <c r="I67" s="33">
        <f t="shared" si="22"/>
        <v>-156.68459199999998</v>
      </c>
      <c r="J67" s="33">
        <f t="shared" si="22"/>
        <v>-299.42757699999999</v>
      </c>
      <c r="K67" s="33">
        <f t="shared" si="22"/>
        <v>63.582231</v>
      </c>
      <c r="L67" s="33">
        <f t="shared" si="22"/>
        <v>123.648943</v>
      </c>
      <c r="M67" s="33">
        <f t="shared" si="22"/>
        <v>-25.371545000000001</v>
      </c>
      <c r="N67" s="33">
        <f t="shared" si="22"/>
        <v>-22.894382</v>
      </c>
      <c r="O67" s="33">
        <f t="shared" si="22"/>
        <v>138.96524700000003</v>
      </c>
      <c r="P67" s="33">
        <f t="shared" si="22"/>
        <v>-52.506374000000001</v>
      </c>
      <c r="Q67" s="33">
        <f t="shared" si="22"/>
        <v>-65.294478999999995</v>
      </c>
      <c r="R67" s="33">
        <f t="shared" si="22"/>
        <v>-58.937027</v>
      </c>
      <c r="S67" s="94">
        <f t="shared" ref="S67:AD67" si="23">SUM(S58:S66)</f>
        <v>-30.328119999999998</v>
      </c>
      <c r="T67" s="33">
        <f t="shared" si="23"/>
        <v>-207.06599999999997</v>
      </c>
      <c r="U67" s="33">
        <f t="shared" si="23"/>
        <v>-53.202410515125891</v>
      </c>
      <c r="V67" s="33">
        <f t="shared" si="23"/>
        <v>-40.660341754615651</v>
      </c>
      <c r="W67" s="33">
        <f t="shared" si="23"/>
        <v>-37.853958884516388</v>
      </c>
      <c r="X67" s="33">
        <f t="shared" si="23"/>
        <v>-69.126337014417132</v>
      </c>
      <c r="Y67" s="33">
        <f t="shared" si="23"/>
        <v>-200.84304816867507</v>
      </c>
      <c r="Z67" s="33">
        <f t="shared" si="23"/>
        <v>-72.048625144317867</v>
      </c>
      <c r="AA67" s="33">
        <f t="shared" si="23"/>
        <v>-64.141825274218604</v>
      </c>
      <c r="AB67" s="33">
        <f t="shared" si="23"/>
        <v>-59.997367404119352</v>
      </c>
      <c r="AC67" s="33">
        <f t="shared" si="23"/>
        <v>-99.034171534020118</v>
      </c>
      <c r="AD67" s="33">
        <f t="shared" si="23"/>
        <v>-295.22198935667592</v>
      </c>
    </row>
    <row r="68" spans="3:30" ht="5.0999999999999996" customHeight="1" x14ac:dyDescent="0.2">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row>
    <row r="69" spans="3:30" x14ac:dyDescent="0.2">
      <c r="C69" s="32" t="s">
        <v>141</v>
      </c>
      <c r="D69" s="33">
        <f>+D67+D56+D47</f>
        <v>-4.6872559999999623</v>
      </c>
      <c r="E69" s="33">
        <f t="shared" ref="E69:R69" si="24">+E67+E56+E47</f>
        <v>9.9423390000000893</v>
      </c>
      <c r="F69" s="33">
        <f t="shared" si="24"/>
        <v>0.37230299999999517</v>
      </c>
      <c r="G69" s="33">
        <f t="shared" si="24"/>
        <v>1.6467880000000026</v>
      </c>
      <c r="H69" s="33">
        <f t="shared" si="24"/>
        <v>-5.945356000000011</v>
      </c>
      <c r="I69" s="33">
        <f t="shared" si="24"/>
        <v>18.771687000000007</v>
      </c>
      <c r="J69" s="33">
        <f t="shared" si="24"/>
        <v>14.845422000000028</v>
      </c>
      <c r="K69" s="33">
        <f t="shared" si="24"/>
        <v>-5.6109639999999814</v>
      </c>
      <c r="L69" s="33">
        <f t="shared" si="24"/>
        <v>32.601531000000008</v>
      </c>
      <c r="M69" s="33">
        <f t="shared" si="24"/>
        <v>3.1603989999999875</v>
      </c>
      <c r="N69" s="33">
        <f t="shared" si="24"/>
        <v>12.614076999999998</v>
      </c>
      <c r="O69" s="33">
        <f t="shared" si="24"/>
        <v>42.765042999999991</v>
      </c>
      <c r="P69" s="33">
        <f t="shared" si="24"/>
        <v>29.037312999999997</v>
      </c>
      <c r="Q69" s="33">
        <f t="shared" si="24"/>
        <v>-30.794554999999995</v>
      </c>
      <c r="R69" s="33">
        <f t="shared" si="24"/>
        <v>-3.1321990000000142</v>
      </c>
      <c r="S69" s="33">
        <f t="shared" ref="S69:AD69" si="25">+S67+S56+S47</f>
        <v>-27.183862999999995</v>
      </c>
      <c r="T69" s="33">
        <f t="shared" si="25"/>
        <v>-32.073303999999922</v>
      </c>
      <c r="U69" s="33">
        <f>+U67+U56+U47</f>
        <v>0</v>
      </c>
      <c r="V69" s="33">
        <f t="shared" si="25"/>
        <v>0</v>
      </c>
      <c r="W69" s="33">
        <f t="shared" si="25"/>
        <v>0</v>
      </c>
      <c r="X69" s="33">
        <f t="shared" si="25"/>
        <v>0</v>
      </c>
      <c r="Y69" s="33">
        <f t="shared" si="25"/>
        <v>0</v>
      </c>
      <c r="Z69" s="33">
        <f t="shared" si="25"/>
        <v>0</v>
      </c>
      <c r="AA69" s="33">
        <f t="shared" si="25"/>
        <v>0</v>
      </c>
      <c r="AB69" s="33">
        <f t="shared" si="25"/>
        <v>0</v>
      </c>
      <c r="AC69" s="33">
        <f t="shared" si="25"/>
        <v>0</v>
      </c>
      <c r="AD69" s="33">
        <f t="shared" si="25"/>
        <v>0</v>
      </c>
    </row>
    <row r="70" spans="3:30" x14ac:dyDescent="0.2">
      <c r="C70" s="17" t="s">
        <v>142</v>
      </c>
      <c r="D70" s="34">
        <v>0</v>
      </c>
      <c r="E70" s="34">
        <v>0</v>
      </c>
      <c r="F70" s="34">
        <v>0</v>
      </c>
      <c r="G70" s="34">
        <v>0</v>
      </c>
      <c r="H70" s="34">
        <v>0</v>
      </c>
      <c r="I70" s="34">
        <v>0</v>
      </c>
      <c r="J70" s="34">
        <v>0</v>
      </c>
      <c r="K70" s="34">
        <v>0</v>
      </c>
      <c r="L70" s="34">
        <v>0.19939499999999999</v>
      </c>
      <c r="M70" s="34">
        <v>0.26898</v>
      </c>
      <c r="N70" s="34">
        <v>-7.0694999999999994E-2</v>
      </c>
      <c r="O70" s="34">
        <v>0.39767999999999998</v>
      </c>
      <c r="P70" s="34">
        <v>0.54799900000000001</v>
      </c>
      <c r="Q70" s="34">
        <v>3.6554999999999997E-2</v>
      </c>
      <c r="R70" s="34">
        <v>-0.53956000000000004</v>
      </c>
      <c r="S70" s="34">
        <v>0.67482399999999998</v>
      </c>
      <c r="T70" s="34">
        <f>+SUM(P70:S70)</f>
        <v>0.71981799999999996</v>
      </c>
      <c r="U70" s="40">
        <v>0</v>
      </c>
      <c r="V70" s="40">
        <v>0</v>
      </c>
      <c r="W70" s="40">
        <v>0</v>
      </c>
      <c r="X70" s="40">
        <v>0</v>
      </c>
      <c r="Y70" s="40">
        <v>0</v>
      </c>
      <c r="Z70" s="40">
        <v>0</v>
      </c>
      <c r="AA70" s="40">
        <v>0</v>
      </c>
      <c r="AB70" s="40">
        <v>0</v>
      </c>
      <c r="AC70" s="40">
        <v>0</v>
      </c>
      <c r="AD70" s="40">
        <v>0</v>
      </c>
    </row>
    <row r="71" spans="3:30" x14ac:dyDescent="0.2">
      <c r="C71" s="17" t="s">
        <v>143</v>
      </c>
      <c r="D71" s="34">
        <v>18.082979000000002</v>
      </c>
      <c r="E71" s="39">
        <f>+D72</f>
        <v>13.395723000000039</v>
      </c>
      <c r="F71" s="39">
        <f t="shared" ref="F71:AC71" si="26">+E72</f>
        <v>23.338062000000129</v>
      </c>
      <c r="G71" s="39">
        <f t="shared" si="26"/>
        <v>23.710365000000124</v>
      </c>
      <c r="H71" s="39">
        <f t="shared" si="26"/>
        <v>25.357153000000125</v>
      </c>
      <c r="I71" s="39">
        <f t="shared" si="26"/>
        <v>19.411797000000114</v>
      </c>
      <c r="J71" s="39">
        <f>+E72</f>
        <v>23.338062000000129</v>
      </c>
      <c r="K71" s="39">
        <f t="shared" si="26"/>
        <v>38.183484000000156</v>
      </c>
      <c r="L71" s="39">
        <f t="shared" si="26"/>
        <v>32.572520000000175</v>
      </c>
      <c r="M71" s="39">
        <f t="shared" si="26"/>
        <v>65.373446000000186</v>
      </c>
      <c r="N71" s="39">
        <f t="shared" si="26"/>
        <v>68.802825000000169</v>
      </c>
      <c r="O71" s="39">
        <f>+J72</f>
        <v>38.183484000000156</v>
      </c>
      <c r="P71" s="39">
        <f t="shared" si="26"/>
        <v>81.346207000000149</v>
      </c>
      <c r="Q71" s="39">
        <f t="shared" si="26"/>
        <v>110.93151900000015</v>
      </c>
      <c r="R71" s="39">
        <f t="shared" si="26"/>
        <v>80.173519000000155</v>
      </c>
      <c r="S71" s="39">
        <v>76.501429999999999</v>
      </c>
      <c r="T71" s="39">
        <f>+O72</f>
        <v>81.346207000000149</v>
      </c>
      <c r="U71" s="39">
        <f t="shared" si="26"/>
        <v>49.99272100000023</v>
      </c>
      <c r="V71" s="39">
        <f t="shared" si="26"/>
        <v>49.99272100000023</v>
      </c>
      <c r="W71" s="39">
        <f t="shared" si="26"/>
        <v>49.99272100000023</v>
      </c>
      <c r="X71" s="39">
        <f t="shared" si="26"/>
        <v>49.99272100000023</v>
      </c>
      <c r="Y71" s="39">
        <f>+T72</f>
        <v>49.99272100000023</v>
      </c>
      <c r="Z71" s="39">
        <f t="shared" si="26"/>
        <v>49.99272100000023</v>
      </c>
      <c r="AA71" s="39">
        <f t="shared" si="26"/>
        <v>49.99272100000023</v>
      </c>
      <c r="AB71" s="39">
        <f t="shared" si="26"/>
        <v>49.99272100000023</v>
      </c>
      <c r="AC71" s="39">
        <f t="shared" si="26"/>
        <v>49.99272100000023</v>
      </c>
      <c r="AD71" s="39">
        <f>+Y72</f>
        <v>49.99272100000023</v>
      </c>
    </row>
    <row r="72" spans="3:30" x14ac:dyDescent="0.2">
      <c r="C72" s="32" t="s">
        <v>144</v>
      </c>
      <c r="D72" s="33">
        <f>+D69+D70+D71</f>
        <v>13.395723000000039</v>
      </c>
      <c r="E72" s="33">
        <f>+E69+E70+E71</f>
        <v>23.338062000000129</v>
      </c>
      <c r="F72" s="33">
        <f t="shared" ref="F72:R72" si="27">+F69+F70+F71</f>
        <v>23.710365000000124</v>
      </c>
      <c r="G72" s="33">
        <f t="shared" si="27"/>
        <v>25.357153000000125</v>
      </c>
      <c r="H72" s="33">
        <f t="shared" si="27"/>
        <v>19.411797000000114</v>
      </c>
      <c r="I72" s="33">
        <f t="shared" si="27"/>
        <v>38.183484000000121</v>
      </c>
      <c r="J72" s="33">
        <f t="shared" si="27"/>
        <v>38.183484000000156</v>
      </c>
      <c r="K72" s="33">
        <f t="shared" si="27"/>
        <v>32.572520000000175</v>
      </c>
      <c r="L72" s="33">
        <f t="shared" si="27"/>
        <v>65.373446000000186</v>
      </c>
      <c r="M72" s="33">
        <f t="shared" si="27"/>
        <v>68.802825000000169</v>
      </c>
      <c r="N72" s="33">
        <f t="shared" si="27"/>
        <v>81.346207000000163</v>
      </c>
      <c r="O72" s="33">
        <f t="shared" si="27"/>
        <v>81.346207000000149</v>
      </c>
      <c r="P72" s="33">
        <f t="shared" si="27"/>
        <v>110.93151900000015</v>
      </c>
      <c r="Q72" s="33">
        <f t="shared" si="27"/>
        <v>80.173519000000155</v>
      </c>
      <c r="R72" s="33">
        <f t="shared" si="27"/>
        <v>76.501760000000147</v>
      </c>
      <c r="S72" s="33">
        <f t="shared" ref="S72:AD72" si="28">+S69+S70+S71</f>
        <v>49.992391000000005</v>
      </c>
      <c r="T72" s="33">
        <f t="shared" si="28"/>
        <v>49.99272100000023</v>
      </c>
      <c r="U72" s="33">
        <f t="shared" si="28"/>
        <v>49.99272100000023</v>
      </c>
      <c r="V72" s="33">
        <f t="shared" si="28"/>
        <v>49.99272100000023</v>
      </c>
      <c r="W72" s="33">
        <f t="shared" si="28"/>
        <v>49.99272100000023</v>
      </c>
      <c r="X72" s="33">
        <f t="shared" si="28"/>
        <v>49.99272100000023</v>
      </c>
      <c r="Y72" s="33">
        <f>+Y69+Y70+Y71</f>
        <v>49.99272100000023</v>
      </c>
      <c r="Z72" s="33">
        <f t="shared" si="28"/>
        <v>49.99272100000023</v>
      </c>
      <c r="AA72" s="33">
        <f t="shared" si="28"/>
        <v>49.99272100000023</v>
      </c>
      <c r="AB72" s="33">
        <f t="shared" si="28"/>
        <v>49.99272100000023</v>
      </c>
      <c r="AC72" s="33">
        <f t="shared" si="28"/>
        <v>49.99272100000023</v>
      </c>
      <c r="AD72" s="33">
        <f t="shared" si="28"/>
        <v>49.99272100000023</v>
      </c>
    </row>
    <row r="73" spans="3:30" x14ac:dyDescent="0.2">
      <c r="D73" s="37"/>
      <c r="E73" s="37"/>
      <c r="F73" s="37"/>
      <c r="G73" s="37"/>
      <c r="H73" s="37"/>
      <c r="I73" s="37"/>
      <c r="J73" s="37"/>
      <c r="K73" s="37"/>
      <c r="L73" s="37"/>
      <c r="M73" s="37"/>
      <c r="N73" s="37"/>
      <c r="O73" s="37"/>
      <c r="P73" s="37"/>
      <c r="Q73" s="37"/>
      <c r="R73" s="37"/>
      <c r="T73" s="95"/>
    </row>
    <row r="74" spans="3:30" x14ac:dyDescent="0.2">
      <c r="C74" s="30" t="s">
        <v>145</v>
      </c>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row>
    <row r="75" spans="3:30" x14ac:dyDescent="0.2">
      <c r="C75" s="17" t="s">
        <v>146</v>
      </c>
      <c r="D75" s="36">
        <v>1007.992914</v>
      </c>
      <c r="E75" s="36">
        <v>1199.3648459999999</v>
      </c>
      <c r="F75" s="36">
        <v>1188.1852630000001</v>
      </c>
      <c r="G75" s="36">
        <v>880.00701300000003</v>
      </c>
      <c r="H75" s="36">
        <v>871.85020699999995</v>
      </c>
      <c r="I75" s="36">
        <v>865.20838000000003</v>
      </c>
      <c r="J75" s="36">
        <v>865.20838000000003</v>
      </c>
      <c r="K75" s="36">
        <v>955.08297900000002</v>
      </c>
      <c r="L75" s="36">
        <v>1043.7396429999999</v>
      </c>
      <c r="M75" s="36">
        <v>1034.4258930000001</v>
      </c>
      <c r="N75" s="36">
        <v>1024.2960350000001</v>
      </c>
      <c r="O75" s="36">
        <v>1024.2960350000001</v>
      </c>
      <c r="P75" s="36">
        <v>1014.421567</v>
      </c>
      <c r="Q75" s="36">
        <v>1004.564672</v>
      </c>
      <c r="R75" s="36">
        <v>997.01108199999999</v>
      </c>
      <c r="S75" s="36">
        <v>988.06817999999998</v>
      </c>
      <c r="T75" s="36">
        <v>988.06817999999998</v>
      </c>
      <c r="U75" s="40">
        <f>+(T75+U18-U54-U53)</f>
        <v>978.29111499999999</v>
      </c>
      <c r="V75" s="40">
        <f>+(U75+V18-V54-V53)</f>
        <v>968.51405</v>
      </c>
      <c r="W75" s="40">
        <f>+(V75+W18-W54-W53)</f>
        <v>958.736985</v>
      </c>
      <c r="X75" s="40">
        <f>+(W75+X18-X54-X53)</f>
        <v>948.95992000000001</v>
      </c>
      <c r="Y75" s="130">
        <f t="shared" ref="Y75:Y80" si="29">+X75</f>
        <v>948.95992000000001</v>
      </c>
      <c r="Z75" s="40">
        <f>+(Y75+Z18-Z54-Z53)</f>
        <v>939.18285500000002</v>
      </c>
      <c r="AA75" s="40">
        <f>+(Z75+AA18-AA54-AA53)</f>
        <v>929.40579000000002</v>
      </c>
      <c r="AB75" s="40">
        <f>+(AA75+AB18-AB54-AB53)</f>
        <v>919.62872500000003</v>
      </c>
      <c r="AC75" s="40">
        <f>+(AB75+AC18-AC54-AC53)</f>
        <v>909.85166000000004</v>
      </c>
      <c r="AD75" s="130">
        <f t="shared" ref="AD75:AD80" si="30">+AC75</f>
        <v>909.85166000000004</v>
      </c>
    </row>
    <row r="76" spans="3:30" x14ac:dyDescent="0.2">
      <c r="C76" s="17" t="s">
        <v>147</v>
      </c>
      <c r="D76" s="36">
        <v>56.266948999999997</v>
      </c>
      <c r="E76" s="36">
        <v>0</v>
      </c>
      <c r="F76" s="36">
        <v>0</v>
      </c>
      <c r="G76" s="36">
        <v>0</v>
      </c>
      <c r="H76" s="36">
        <v>17.643782000000002</v>
      </c>
      <c r="I76" s="36">
        <v>18.193256999999999</v>
      </c>
      <c r="J76" s="36">
        <v>18.193256999999999</v>
      </c>
      <c r="K76" s="36">
        <v>9.2332490000000007</v>
      </c>
      <c r="L76" s="36">
        <v>0</v>
      </c>
      <c r="M76" s="36">
        <v>0</v>
      </c>
      <c r="N76" s="36">
        <v>0</v>
      </c>
      <c r="O76" s="36">
        <v>0</v>
      </c>
      <c r="P76" s="36">
        <v>0</v>
      </c>
      <c r="Q76" s="36">
        <v>0</v>
      </c>
      <c r="R76" s="36">
        <v>0</v>
      </c>
      <c r="S76" s="36">
        <v>0</v>
      </c>
      <c r="T76" s="36">
        <v>0</v>
      </c>
      <c r="U76" s="130">
        <f>+T76</f>
        <v>0</v>
      </c>
      <c r="V76" s="130">
        <f>+U76</f>
        <v>0</v>
      </c>
      <c r="W76" s="130">
        <f>+V76</f>
        <v>0</v>
      </c>
      <c r="X76" s="130">
        <f>+W76</f>
        <v>0</v>
      </c>
      <c r="Y76" s="130">
        <f t="shared" si="29"/>
        <v>0</v>
      </c>
      <c r="Z76" s="130">
        <f>+Y76</f>
        <v>0</v>
      </c>
      <c r="AA76" s="130">
        <f>+Z76</f>
        <v>0</v>
      </c>
      <c r="AB76" s="130">
        <f>+AA76</f>
        <v>0</v>
      </c>
      <c r="AC76" s="130">
        <f>+AB76</f>
        <v>0</v>
      </c>
      <c r="AD76" s="130">
        <f t="shared" si="30"/>
        <v>0</v>
      </c>
    </row>
    <row r="77" spans="3:30" x14ac:dyDescent="0.2">
      <c r="C77" s="17" t="s">
        <v>148</v>
      </c>
      <c r="D77" s="36">
        <v>0.04</v>
      </c>
      <c r="E77" s="36">
        <v>4.1019E-2</v>
      </c>
      <c r="F77" s="36">
        <v>4.1019E-2</v>
      </c>
      <c r="G77" s="36">
        <v>6.1018999999999997E-2</v>
      </c>
      <c r="H77" s="36">
        <v>6.1018999999999997E-2</v>
      </c>
      <c r="I77" s="36">
        <v>6.1018999999999997E-2</v>
      </c>
      <c r="J77" s="36">
        <v>6.1018999999999997E-2</v>
      </c>
      <c r="K77" s="36">
        <v>6.1018999999999997E-2</v>
      </c>
      <c r="L77" s="36">
        <v>6.1018999999999997E-2</v>
      </c>
      <c r="M77" s="36">
        <v>6.1018999999999997E-2</v>
      </c>
      <c r="N77" s="36">
        <v>0.13222300000000001</v>
      </c>
      <c r="O77" s="36">
        <v>0.13222300000000001</v>
      </c>
      <c r="P77" s="36">
        <v>0.12098</v>
      </c>
      <c r="Q77" s="36">
        <v>0.109737</v>
      </c>
      <c r="R77" s="36">
        <v>9.9643999999999996E-2</v>
      </c>
      <c r="S77" s="36">
        <v>8.7251999999999996E-2</v>
      </c>
      <c r="T77" s="36">
        <v>8.7251999999999996E-2</v>
      </c>
      <c r="U77" s="130">
        <f t="shared" ref="U77:X80" si="31">+T77</f>
        <v>8.7251999999999996E-2</v>
      </c>
      <c r="V77" s="130">
        <f t="shared" si="31"/>
        <v>8.7251999999999996E-2</v>
      </c>
      <c r="W77" s="130">
        <f t="shared" si="31"/>
        <v>8.7251999999999996E-2</v>
      </c>
      <c r="X77" s="130">
        <f t="shared" si="31"/>
        <v>8.7251999999999996E-2</v>
      </c>
      <c r="Y77" s="130">
        <f t="shared" si="29"/>
        <v>8.7251999999999996E-2</v>
      </c>
      <c r="Z77" s="130">
        <f t="shared" ref="Z77:AC80" si="32">+Y77</f>
        <v>8.7251999999999996E-2</v>
      </c>
      <c r="AA77" s="130">
        <f t="shared" si="32"/>
        <v>8.7251999999999996E-2</v>
      </c>
      <c r="AB77" s="130">
        <f t="shared" si="32"/>
        <v>8.7251999999999996E-2</v>
      </c>
      <c r="AC77" s="130">
        <f t="shared" si="32"/>
        <v>8.7251999999999996E-2</v>
      </c>
      <c r="AD77" s="130">
        <f t="shared" si="30"/>
        <v>8.7251999999999996E-2</v>
      </c>
    </row>
    <row r="78" spans="3:30" x14ac:dyDescent="0.2">
      <c r="C78" s="17" t="s">
        <v>149</v>
      </c>
      <c r="D78" s="36">
        <v>0.75150499999999998</v>
      </c>
      <c r="E78" s="36">
        <v>0</v>
      </c>
      <c r="F78" s="36">
        <v>0.39322000000000001</v>
      </c>
      <c r="G78" s="36">
        <v>0.31703700000000001</v>
      </c>
      <c r="H78" s="36">
        <v>0.29034100000000002</v>
      </c>
      <c r="I78" s="36">
        <v>3.1507670000000001</v>
      </c>
      <c r="J78" s="36">
        <v>3.1507670000000001</v>
      </c>
      <c r="K78" s="36">
        <v>10.683641</v>
      </c>
      <c r="L78" s="36">
        <v>0.50653499999999996</v>
      </c>
      <c r="M78" s="36">
        <v>0.13645399999999999</v>
      </c>
      <c r="N78" s="36">
        <v>0</v>
      </c>
      <c r="O78" s="36">
        <v>0</v>
      </c>
      <c r="P78" s="36">
        <v>0.51727500000000004</v>
      </c>
      <c r="Q78" s="36">
        <v>2.9995999999999998E-2</v>
      </c>
      <c r="R78" s="36">
        <v>0</v>
      </c>
      <c r="S78" s="36">
        <v>0</v>
      </c>
      <c r="T78" s="36">
        <v>0</v>
      </c>
      <c r="U78" s="130">
        <f t="shared" si="31"/>
        <v>0</v>
      </c>
      <c r="V78" s="130">
        <f t="shared" si="31"/>
        <v>0</v>
      </c>
      <c r="W78" s="130">
        <f t="shared" si="31"/>
        <v>0</v>
      </c>
      <c r="X78" s="130">
        <f t="shared" si="31"/>
        <v>0</v>
      </c>
      <c r="Y78" s="130">
        <f t="shared" si="29"/>
        <v>0</v>
      </c>
      <c r="Z78" s="130">
        <f t="shared" si="32"/>
        <v>0</v>
      </c>
      <c r="AA78" s="130">
        <f t="shared" si="32"/>
        <v>0</v>
      </c>
      <c r="AB78" s="130">
        <f t="shared" si="32"/>
        <v>0</v>
      </c>
      <c r="AC78" s="130">
        <f t="shared" si="32"/>
        <v>0</v>
      </c>
      <c r="AD78" s="130">
        <f t="shared" si="30"/>
        <v>0</v>
      </c>
    </row>
    <row r="79" spans="3:30" x14ac:dyDescent="0.2">
      <c r="C79" s="17" t="s">
        <v>150</v>
      </c>
      <c r="D79" s="36">
        <v>3.41</v>
      </c>
      <c r="E79" s="36">
        <v>6.41</v>
      </c>
      <c r="F79" s="36">
        <v>6.41</v>
      </c>
      <c r="G79" s="36">
        <v>5.41</v>
      </c>
      <c r="H79" s="36">
        <v>5.41</v>
      </c>
      <c r="I79" s="36">
        <v>5.41</v>
      </c>
      <c r="J79" s="36">
        <v>5.41</v>
      </c>
      <c r="K79" s="36">
        <v>5.91</v>
      </c>
      <c r="L79" s="36">
        <v>4.51</v>
      </c>
      <c r="M79" s="36">
        <v>4.51</v>
      </c>
      <c r="N79" s="36">
        <v>4.51</v>
      </c>
      <c r="O79" s="36">
        <v>4.51</v>
      </c>
      <c r="P79" s="36">
        <v>4.51</v>
      </c>
      <c r="Q79" s="36">
        <v>4.01</v>
      </c>
      <c r="R79" s="36">
        <v>3.01</v>
      </c>
      <c r="S79" s="36">
        <v>3.01</v>
      </c>
      <c r="T79" s="36">
        <v>3.01</v>
      </c>
      <c r="U79" s="130">
        <f t="shared" si="31"/>
        <v>3.01</v>
      </c>
      <c r="V79" s="130">
        <f t="shared" si="31"/>
        <v>3.01</v>
      </c>
      <c r="W79" s="130">
        <f t="shared" si="31"/>
        <v>3.01</v>
      </c>
      <c r="X79" s="130">
        <f t="shared" si="31"/>
        <v>3.01</v>
      </c>
      <c r="Y79" s="130">
        <f t="shared" si="29"/>
        <v>3.01</v>
      </c>
      <c r="Z79" s="130">
        <f t="shared" si="32"/>
        <v>3.01</v>
      </c>
      <c r="AA79" s="130">
        <f t="shared" si="32"/>
        <v>3.01</v>
      </c>
      <c r="AB79" s="130">
        <f t="shared" si="32"/>
        <v>3.01</v>
      </c>
      <c r="AC79" s="130">
        <f t="shared" si="32"/>
        <v>3.01</v>
      </c>
      <c r="AD79" s="130">
        <f t="shared" si="30"/>
        <v>3.01</v>
      </c>
    </row>
    <row r="80" spans="3:30" x14ac:dyDescent="0.2">
      <c r="C80" s="17" t="s">
        <v>151</v>
      </c>
      <c r="D80" s="36">
        <v>0</v>
      </c>
      <c r="E80" s="36">
        <v>0</v>
      </c>
      <c r="F80" s="36">
        <v>0</v>
      </c>
      <c r="G80" s="36">
        <v>209.94086999999999</v>
      </c>
      <c r="H80" s="36">
        <v>170.40900600000001</v>
      </c>
      <c r="I80" s="36">
        <v>0</v>
      </c>
      <c r="J80" s="36">
        <v>0</v>
      </c>
      <c r="K80" s="36">
        <v>0</v>
      </c>
      <c r="L80" s="36">
        <v>0</v>
      </c>
      <c r="M80" s="36">
        <v>0</v>
      </c>
      <c r="N80" s="36">
        <v>0</v>
      </c>
      <c r="O80" s="36">
        <v>0</v>
      </c>
      <c r="P80" s="36">
        <v>0</v>
      </c>
      <c r="Q80" s="36">
        <v>0</v>
      </c>
      <c r="R80" s="36">
        <v>0</v>
      </c>
      <c r="S80" s="36">
        <v>0</v>
      </c>
      <c r="T80" s="36">
        <v>0</v>
      </c>
      <c r="U80" s="130">
        <f t="shared" si="31"/>
        <v>0</v>
      </c>
      <c r="V80" s="130">
        <f t="shared" si="31"/>
        <v>0</v>
      </c>
      <c r="W80" s="130">
        <f t="shared" si="31"/>
        <v>0</v>
      </c>
      <c r="X80" s="130">
        <f t="shared" si="31"/>
        <v>0</v>
      </c>
      <c r="Y80" s="130">
        <f t="shared" si="29"/>
        <v>0</v>
      </c>
      <c r="Z80" s="130">
        <f t="shared" si="32"/>
        <v>0</v>
      </c>
      <c r="AA80" s="130">
        <f t="shared" si="32"/>
        <v>0</v>
      </c>
      <c r="AB80" s="130">
        <f t="shared" si="32"/>
        <v>0</v>
      </c>
      <c r="AC80" s="130">
        <f t="shared" si="32"/>
        <v>0</v>
      </c>
      <c r="AD80" s="130">
        <f t="shared" si="30"/>
        <v>0</v>
      </c>
    </row>
    <row r="81" spans="3:30" x14ac:dyDescent="0.2">
      <c r="C81" s="32" t="s">
        <v>156</v>
      </c>
      <c r="D81" s="33">
        <f>+SUM(D75:D80)</f>
        <v>1068.461368</v>
      </c>
      <c r="E81" s="33">
        <f t="shared" ref="E81:AD81" si="33">+SUM(E75:E80)</f>
        <v>1205.815865</v>
      </c>
      <c r="F81" s="33">
        <f t="shared" si="33"/>
        <v>1195.0295020000001</v>
      </c>
      <c r="G81" s="33">
        <f t="shared" si="33"/>
        <v>1095.7359389999999</v>
      </c>
      <c r="H81" s="33">
        <f t="shared" si="33"/>
        <v>1065.6643549999999</v>
      </c>
      <c r="I81" s="33">
        <f t="shared" si="33"/>
        <v>892.02342299999998</v>
      </c>
      <c r="J81" s="33">
        <f t="shared" si="33"/>
        <v>892.02342299999998</v>
      </c>
      <c r="K81" s="33">
        <f t="shared" si="33"/>
        <v>980.97088799999995</v>
      </c>
      <c r="L81" s="33">
        <f t="shared" si="33"/>
        <v>1048.8171969999999</v>
      </c>
      <c r="M81" s="33">
        <f t="shared" si="33"/>
        <v>1039.133366</v>
      </c>
      <c r="N81" s="33">
        <f t="shared" si="33"/>
        <v>1028.9382580000001</v>
      </c>
      <c r="O81" s="33">
        <f t="shared" si="33"/>
        <v>1028.9382580000001</v>
      </c>
      <c r="P81" s="33">
        <f t="shared" si="33"/>
        <v>1019.569822</v>
      </c>
      <c r="Q81" s="33">
        <f t="shared" si="33"/>
        <v>1008.7144049999999</v>
      </c>
      <c r="R81" s="33">
        <f t="shared" si="33"/>
        <v>1000.120726</v>
      </c>
      <c r="S81" s="33">
        <f t="shared" si="33"/>
        <v>991.16543200000001</v>
      </c>
      <c r="T81" s="33">
        <f>+SUM(T75:T80)</f>
        <v>991.16543200000001</v>
      </c>
      <c r="U81" s="33">
        <f t="shared" si="33"/>
        <v>981.38836700000002</v>
      </c>
      <c r="V81" s="33">
        <f t="shared" si="33"/>
        <v>971.61130200000002</v>
      </c>
      <c r="W81" s="33">
        <f t="shared" si="33"/>
        <v>961.83423700000003</v>
      </c>
      <c r="X81" s="33">
        <f t="shared" si="33"/>
        <v>952.05717200000004</v>
      </c>
      <c r="Y81" s="33">
        <f t="shared" si="33"/>
        <v>952.05717200000004</v>
      </c>
      <c r="Z81" s="33">
        <f t="shared" si="33"/>
        <v>942.28010700000004</v>
      </c>
      <c r="AA81" s="33">
        <f t="shared" si="33"/>
        <v>932.50304200000005</v>
      </c>
      <c r="AB81" s="33">
        <f t="shared" si="33"/>
        <v>922.72597700000006</v>
      </c>
      <c r="AC81" s="33">
        <f t="shared" si="33"/>
        <v>912.94891200000006</v>
      </c>
      <c r="AD81" s="33">
        <f t="shared" si="33"/>
        <v>912.94891200000006</v>
      </c>
    </row>
    <row r="82" spans="3:30" ht="5.0999999999999996" customHeight="1" x14ac:dyDescent="0.2">
      <c r="D82" s="37"/>
      <c r="E82" s="37"/>
      <c r="F82" s="37"/>
      <c r="G82" s="37"/>
      <c r="H82" s="37"/>
      <c r="I82" s="37"/>
      <c r="J82" s="37"/>
      <c r="K82" s="37"/>
      <c r="L82" s="37"/>
      <c r="M82" s="37"/>
      <c r="N82" s="37"/>
      <c r="O82" s="37"/>
      <c r="P82" s="37"/>
      <c r="Q82" s="37"/>
      <c r="R82" s="37"/>
    </row>
    <row r="83" spans="3:30" x14ac:dyDescent="0.2">
      <c r="C83" s="17" t="s">
        <v>115</v>
      </c>
      <c r="D83" s="36">
        <v>6.5524570000000004</v>
      </c>
      <c r="E83" s="36">
        <v>5.7674839999999996</v>
      </c>
      <c r="F83" s="36">
        <v>8.4594710000000006</v>
      </c>
      <c r="G83" s="36">
        <v>9.1327759999999998</v>
      </c>
      <c r="H83" s="36">
        <v>11.048512000000001</v>
      </c>
      <c r="I83" s="36">
        <v>12.630531</v>
      </c>
      <c r="J83" s="36">
        <v>12.630531</v>
      </c>
      <c r="K83" s="36">
        <v>8.5288599999999999</v>
      </c>
      <c r="L83" s="36">
        <v>19.717766999999998</v>
      </c>
      <c r="M83" s="36">
        <v>22.428280000000001</v>
      </c>
      <c r="N83" s="36">
        <v>17.010531</v>
      </c>
      <c r="O83" s="36">
        <v>17.010531</v>
      </c>
      <c r="P83" s="36">
        <v>19.061133999999999</v>
      </c>
      <c r="Q83" s="36">
        <v>21.481437</v>
      </c>
      <c r="R83" s="36">
        <v>24.243677999999999</v>
      </c>
      <c r="S83" s="36">
        <v>25.354016999999999</v>
      </c>
      <c r="T83" s="36">
        <v>25.354016999999999</v>
      </c>
      <c r="U83" s="130">
        <f t="shared" ref="U83:AD83" si="34">+T83</f>
        <v>25.354016999999999</v>
      </c>
      <c r="V83" s="130">
        <f t="shared" si="34"/>
        <v>25.354016999999999</v>
      </c>
      <c r="W83" s="130">
        <f t="shared" si="34"/>
        <v>25.354016999999999</v>
      </c>
      <c r="X83" s="130">
        <f t="shared" si="34"/>
        <v>25.354016999999999</v>
      </c>
      <c r="Y83" s="130">
        <f t="shared" si="34"/>
        <v>25.354016999999999</v>
      </c>
      <c r="Z83" s="130">
        <f t="shared" si="34"/>
        <v>25.354016999999999</v>
      </c>
      <c r="AA83" s="130">
        <f t="shared" si="34"/>
        <v>25.354016999999999</v>
      </c>
      <c r="AB83" s="130">
        <f t="shared" si="34"/>
        <v>25.354016999999999</v>
      </c>
      <c r="AC83" s="130">
        <f t="shared" si="34"/>
        <v>25.354016999999999</v>
      </c>
      <c r="AD83" s="130">
        <f t="shared" si="34"/>
        <v>25.354016999999999</v>
      </c>
    </row>
    <row r="84" spans="3:30" x14ac:dyDescent="0.2">
      <c r="C84" s="17" t="s">
        <v>113</v>
      </c>
      <c r="D84" s="36">
        <v>18.230962000000002</v>
      </c>
      <c r="E84" s="36">
        <v>14.633061</v>
      </c>
      <c r="F84" s="36">
        <v>10.634907999999999</v>
      </c>
      <c r="G84" s="36">
        <v>19.469936000000001</v>
      </c>
      <c r="H84" s="36">
        <v>10.270725000000001</v>
      </c>
      <c r="I84" s="36">
        <v>7.4483899999999998</v>
      </c>
      <c r="J84" s="36">
        <v>7.4483899999999998</v>
      </c>
      <c r="K84" s="36">
        <v>19.263341</v>
      </c>
      <c r="L84" s="36">
        <v>17.476303000000001</v>
      </c>
      <c r="M84" s="36">
        <v>24.941253</v>
      </c>
      <c r="N84" s="36">
        <v>49.630484000000003</v>
      </c>
      <c r="O84" s="36">
        <v>49.630484000000003</v>
      </c>
      <c r="P84" s="36">
        <v>30.956496999999999</v>
      </c>
      <c r="Q84" s="36">
        <v>65.071882000000002</v>
      </c>
      <c r="R84" s="36">
        <v>35.789405000000002</v>
      </c>
      <c r="S84" s="36">
        <v>57.336089000000001</v>
      </c>
      <c r="T84" s="36">
        <v>57.336089000000001</v>
      </c>
      <c r="U84" s="130">
        <f t="shared" ref="U84:AD84" si="35">+T84</f>
        <v>57.336089000000001</v>
      </c>
      <c r="V84" s="130">
        <f t="shared" si="35"/>
        <v>57.336089000000001</v>
      </c>
      <c r="W84" s="130">
        <f t="shared" si="35"/>
        <v>57.336089000000001</v>
      </c>
      <c r="X84" s="130">
        <f t="shared" si="35"/>
        <v>57.336089000000001</v>
      </c>
      <c r="Y84" s="130">
        <f t="shared" si="35"/>
        <v>57.336089000000001</v>
      </c>
      <c r="Z84" s="130">
        <f t="shared" si="35"/>
        <v>57.336089000000001</v>
      </c>
      <c r="AA84" s="130">
        <f t="shared" si="35"/>
        <v>57.336089000000001</v>
      </c>
      <c r="AB84" s="130">
        <f t="shared" si="35"/>
        <v>57.336089000000001</v>
      </c>
      <c r="AC84" s="130">
        <f t="shared" si="35"/>
        <v>57.336089000000001</v>
      </c>
      <c r="AD84" s="130">
        <f t="shared" si="35"/>
        <v>57.336089000000001</v>
      </c>
    </row>
    <row r="85" spans="3:30" x14ac:dyDescent="0.2">
      <c r="C85" s="17" t="s">
        <v>119</v>
      </c>
      <c r="D85" s="36">
        <v>9.2607999999999996E-2</v>
      </c>
      <c r="E85" s="36">
        <v>0.15448799999999999</v>
      </c>
      <c r="F85" s="36">
        <v>0.18371199999999999</v>
      </c>
      <c r="G85" s="36">
        <v>0.219579</v>
      </c>
      <c r="H85" s="36">
        <v>0.317583</v>
      </c>
      <c r="I85" s="36">
        <v>0.26109300000000002</v>
      </c>
      <c r="J85" s="36">
        <v>0.26109300000000002</v>
      </c>
      <c r="K85" s="36">
        <v>0.26109300000000002</v>
      </c>
      <c r="L85" s="36">
        <v>0.163331</v>
      </c>
      <c r="M85" s="36">
        <v>0.163656</v>
      </c>
      <c r="N85" s="36">
        <v>0.108391</v>
      </c>
      <c r="O85" s="36">
        <v>0.108391</v>
      </c>
      <c r="P85" s="36">
        <v>0.132133</v>
      </c>
      <c r="Q85" s="36">
        <v>0.110196</v>
      </c>
      <c r="R85" s="36">
        <v>0.110196</v>
      </c>
      <c r="S85" s="36">
        <v>0.11552800000000001</v>
      </c>
      <c r="T85" s="36">
        <v>0.11552800000000001</v>
      </c>
      <c r="U85" s="130">
        <f t="shared" ref="U85:AD85" si="36">+T85</f>
        <v>0.11552800000000001</v>
      </c>
      <c r="V85" s="130">
        <f t="shared" si="36"/>
        <v>0.11552800000000001</v>
      </c>
      <c r="W85" s="130">
        <f t="shared" si="36"/>
        <v>0.11552800000000001</v>
      </c>
      <c r="X85" s="130">
        <f t="shared" si="36"/>
        <v>0.11552800000000001</v>
      </c>
      <c r="Y85" s="130">
        <f t="shared" si="36"/>
        <v>0.11552800000000001</v>
      </c>
      <c r="Z85" s="130">
        <f t="shared" si="36"/>
        <v>0.11552800000000001</v>
      </c>
      <c r="AA85" s="130">
        <f t="shared" si="36"/>
        <v>0.11552800000000001</v>
      </c>
      <c r="AB85" s="130">
        <f t="shared" si="36"/>
        <v>0.11552800000000001</v>
      </c>
      <c r="AC85" s="130">
        <f t="shared" si="36"/>
        <v>0.11552800000000001</v>
      </c>
      <c r="AD85" s="130">
        <f t="shared" si="36"/>
        <v>0.11552800000000001</v>
      </c>
    </row>
    <row r="86" spans="3:30" x14ac:dyDescent="0.2">
      <c r="C86" s="17" t="s">
        <v>114</v>
      </c>
      <c r="D86" s="36">
        <v>2.2636620000000001</v>
      </c>
      <c r="E86" s="36">
        <v>0.96441600000000005</v>
      </c>
      <c r="F86" s="36">
        <v>1.6797359999999999</v>
      </c>
      <c r="G86" s="36">
        <v>2.201457</v>
      </c>
      <c r="H86" s="36">
        <v>2.034322</v>
      </c>
      <c r="I86" s="36">
        <v>1.03264</v>
      </c>
      <c r="J86" s="36">
        <v>1.03264</v>
      </c>
      <c r="K86" s="36">
        <v>0.86494899999999997</v>
      </c>
      <c r="L86" s="36">
        <v>1.858098</v>
      </c>
      <c r="M86" s="36">
        <v>4.0863139999999998</v>
      </c>
      <c r="N86" s="36">
        <v>3.2450549999999998</v>
      </c>
      <c r="O86" s="36">
        <v>3.2450549999999998</v>
      </c>
      <c r="P86" s="36">
        <v>4.8587619999999996</v>
      </c>
      <c r="Q86" s="36">
        <v>2.5434649999999999</v>
      </c>
      <c r="R86" s="36">
        <v>3.313898</v>
      </c>
      <c r="S86" s="36">
        <v>3.037366</v>
      </c>
      <c r="T86" s="36">
        <v>3.037366</v>
      </c>
      <c r="U86" s="130">
        <f t="shared" ref="U86:AD86" si="37">+T86</f>
        <v>3.037366</v>
      </c>
      <c r="V86" s="130">
        <f t="shared" si="37"/>
        <v>3.037366</v>
      </c>
      <c r="W86" s="130">
        <f t="shared" si="37"/>
        <v>3.037366</v>
      </c>
      <c r="X86" s="130">
        <f t="shared" si="37"/>
        <v>3.037366</v>
      </c>
      <c r="Y86" s="130">
        <f t="shared" si="37"/>
        <v>3.037366</v>
      </c>
      <c r="Z86" s="130">
        <f t="shared" si="37"/>
        <v>3.037366</v>
      </c>
      <c r="AA86" s="130">
        <f t="shared" si="37"/>
        <v>3.037366</v>
      </c>
      <c r="AB86" s="130">
        <f t="shared" si="37"/>
        <v>3.037366</v>
      </c>
      <c r="AC86" s="130">
        <f t="shared" si="37"/>
        <v>3.037366</v>
      </c>
      <c r="AD86" s="130">
        <f t="shared" si="37"/>
        <v>3.037366</v>
      </c>
    </row>
    <row r="87" spans="3:30" x14ac:dyDescent="0.2">
      <c r="C87" s="17" t="s">
        <v>122</v>
      </c>
      <c r="D87" s="36">
        <v>1.8370519999999999</v>
      </c>
      <c r="E87" s="36">
        <v>7.0636190000000001</v>
      </c>
      <c r="F87" s="36">
        <v>6.7076890000000002</v>
      </c>
      <c r="G87" s="36">
        <v>3.4024920000000001</v>
      </c>
      <c r="H87" s="36">
        <v>2.367124</v>
      </c>
      <c r="I87" s="36">
        <v>1.070101</v>
      </c>
      <c r="J87" s="36">
        <v>1.070101</v>
      </c>
      <c r="K87" s="36">
        <v>0</v>
      </c>
      <c r="L87" s="36">
        <v>3.1472660000000001</v>
      </c>
      <c r="M87" s="36">
        <v>0.37879200000000002</v>
      </c>
      <c r="N87" s="36">
        <v>0.449629</v>
      </c>
      <c r="O87" s="36">
        <v>0.449629</v>
      </c>
      <c r="P87" s="36">
        <v>0.4894</v>
      </c>
      <c r="Q87" s="36">
        <v>0</v>
      </c>
      <c r="R87" s="36">
        <v>0</v>
      </c>
      <c r="S87" s="36"/>
      <c r="T87" s="36"/>
      <c r="U87" s="130">
        <f t="shared" ref="U87:AD87" si="38">+T87</f>
        <v>0</v>
      </c>
      <c r="V87" s="130">
        <f t="shared" si="38"/>
        <v>0</v>
      </c>
      <c r="W87" s="130">
        <f t="shared" si="38"/>
        <v>0</v>
      </c>
      <c r="X87" s="130">
        <f t="shared" si="38"/>
        <v>0</v>
      </c>
      <c r="Y87" s="130">
        <f t="shared" si="38"/>
        <v>0</v>
      </c>
      <c r="Z87" s="130">
        <f t="shared" si="38"/>
        <v>0</v>
      </c>
      <c r="AA87" s="130">
        <f t="shared" si="38"/>
        <v>0</v>
      </c>
      <c r="AB87" s="130">
        <f t="shared" si="38"/>
        <v>0</v>
      </c>
      <c r="AC87" s="130">
        <f t="shared" si="38"/>
        <v>0</v>
      </c>
      <c r="AD87" s="130">
        <f t="shared" si="38"/>
        <v>0</v>
      </c>
    </row>
    <row r="88" spans="3:30" x14ac:dyDescent="0.2">
      <c r="C88" s="17" t="s">
        <v>152</v>
      </c>
      <c r="D88" s="36">
        <v>0</v>
      </c>
      <c r="E88" s="36">
        <v>0</v>
      </c>
      <c r="F88" s="36">
        <v>0</v>
      </c>
      <c r="G88" s="36">
        <v>0</v>
      </c>
      <c r="H88" s="36">
        <v>0</v>
      </c>
      <c r="I88" s="36">
        <v>0</v>
      </c>
      <c r="J88" s="36">
        <v>0</v>
      </c>
      <c r="K88" s="36">
        <v>0</v>
      </c>
      <c r="L88" s="36">
        <v>8.4995829999999994</v>
      </c>
      <c r="M88" s="36">
        <v>0.51402300000000001</v>
      </c>
      <c r="N88" s="36">
        <v>0.20923800000000001</v>
      </c>
      <c r="O88" s="36">
        <v>0.20923800000000001</v>
      </c>
      <c r="P88" s="36">
        <v>0.151172</v>
      </c>
      <c r="Q88" s="36">
        <v>0.19936100000000001</v>
      </c>
      <c r="R88" s="36">
        <v>0</v>
      </c>
      <c r="S88" s="36">
        <v>0.22937299999999999</v>
      </c>
      <c r="T88" s="36">
        <v>0.22937299999999999</v>
      </c>
      <c r="U88" s="130">
        <f t="shared" ref="U88:AD88" si="39">+T88</f>
        <v>0.22937299999999999</v>
      </c>
      <c r="V88" s="130">
        <f t="shared" si="39"/>
        <v>0.22937299999999999</v>
      </c>
      <c r="W88" s="130">
        <f t="shared" si="39"/>
        <v>0.22937299999999999</v>
      </c>
      <c r="X88" s="130">
        <f t="shared" si="39"/>
        <v>0.22937299999999999</v>
      </c>
      <c r="Y88" s="130">
        <f t="shared" si="39"/>
        <v>0.22937299999999999</v>
      </c>
      <c r="Z88" s="130">
        <f t="shared" si="39"/>
        <v>0.22937299999999999</v>
      </c>
      <c r="AA88" s="130">
        <f t="shared" si="39"/>
        <v>0.22937299999999999</v>
      </c>
      <c r="AB88" s="130">
        <f t="shared" si="39"/>
        <v>0.22937299999999999</v>
      </c>
      <c r="AC88" s="130">
        <f t="shared" si="39"/>
        <v>0.22937299999999999</v>
      </c>
      <c r="AD88" s="130">
        <f t="shared" si="39"/>
        <v>0.22937299999999999</v>
      </c>
    </row>
    <row r="89" spans="3:30" x14ac:dyDescent="0.2">
      <c r="C89" s="17" t="s">
        <v>153</v>
      </c>
      <c r="D89" s="36">
        <v>0</v>
      </c>
      <c r="E89" s="36">
        <v>1.9913810000000001</v>
      </c>
      <c r="F89" s="36">
        <v>1.965789</v>
      </c>
      <c r="G89" s="36">
        <v>1.9473469999999999</v>
      </c>
      <c r="H89" s="36">
        <v>1.951705</v>
      </c>
      <c r="I89" s="36">
        <v>1.939443</v>
      </c>
      <c r="J89" s="36">
        <v>1.939443</v>
      </c>
      <c r="K89" s="36">
        <v>1.8845890000000001</v>
      </c>
      <c r="L89" s="36">
        <v>2.4735640000000001</v>
      </c>
      <c r="M89" s="36">
        <v>2.2357149999999999</v>
      </c>
      <c r="N89" s="36">
        <v>2.4177789999999999</v>
      </c>
      <c r="O89" s="36">
        <v>2.4177789999999999</v>
      </c>
      <c r="P89" s="36">
        <v>2.5388790000000001</v>
      </c>
      <c r="Q89" s="36">
        <v>1.9093640000000001</v>
      </c>
      <c r="R89" s="36">
        <v>2.5588850000000001</v>
      </c>
      <c r="S89" s="36">
        <v>1.884852</v>
      </c>
      <c r="T89" s="36">
        <v>1.884852</v>
      </c>
      <c r="U89" s="130">
        <f t="shared" ref="U89:AD89" si="40">+T89</f>
        <v>1.884852</v>
      </c>
      <c r="V89" s="130">
        <f t="shared" si="40"/>
        <v>1.884852</v>
      </c>
      <c r="W89" s="130">
        <f t="shared" si="40"/>
        <v>1.884852</v>
      </c>
      <c r="X89" s="130">
        <f t="shared" si="40"/>
        <v>1.884852</v>
      </c>
      <c r="Y89" s="130">
        <f t="shared" si="40"/>
        <v>1.884852</v>
      </c>
      <c r="Z89" s="130">
        <f t="shared" si="40"/>
        <v>1.884852</v>
      </c>
      <c r="AA89" s="130">
        <f t="shared" si="40"/>
        <v>1.884852</v>
      </c>
      <c r="AB89" s="130">
        <f t="shared" si="40"/>
        <v>1.884852</v>
      </c>
      <c r="AC89" s="130">
        <f t="shared" si="40"/>
        <v>1.884852</v>
      </c>
      <c r="AD89" s="130">
        <f t="shared" si="40"/>
        <v>1.884852</v>
      </c>
    </row>
    <row r="90" spans="3:30" x14ac:dyDescent="0.2">
      <c r="C90" s="17" t="s">
        <v>154</v>
      </c>
      <c r="D90" s="36">
        <v>13.395723</v>
      </c>
      <c r="E90" s="36">
        <v>23.338062000000001</v>
      </c>
      <c r="F90" s="36">
        <v>23.710364999999999</v>
      </c>
      <c r="G90" s="36">
        <v>25.357153</v>
      </c>
      <c r="H90" s="36">
        <v>19.411797</v>
      </c>
      <c r="I90" s="36">
        <v>38.183154000000002</v>
      </c>
      <c r="J90" s="36">
        <v>38.183154000000002</v>
      </c>
      <c r="K90" s="36">
        <v>32.572189999999999</v>
      </c>
      <c r="L90" s="36">
        <v>65.373115999999996</v>
      </c>
      <c r="M90" s="36">
        <v>68.802494999999993</v>
      </c>
      <c r="N90" s="36">
        <v>81.345877000000002</v>
      </c>
      <c r="O90" s="36">
        <v>81.345877000000002</v>
      </c>
      <c r="P90" s="36">
        <v>110.931189</v>
      </c>
      <c r="Q90" s="36">
        <v>80.173188999999994</v>
      </c>
      <c r="R90" s="36">
        <v>76.501429999999999</v>
      </c>
      <c r="S90" s="36">
        <v>49.992390999999998</v>
      </c>
      <c r="T90" s="36">
        <v>49.992390999999998</v>
      </c>
      <c r="U90" s="130">
        <f t="shared" ref="U90:AD90" si="41">+U71</f>
        <v>49.99272100000023</v>
      </c>
      <c r="V90" s="130">
        <f t="shared" si="41"/>
        <v>49.99272100000023</v>
      </c>
      <c r="W90" s="130">
        <f t="shared" si="41"/>
        <v>49.99272100000023</v>
      </c>
      <c r="X90" s="130">
        <f t="shared" si="41"/>
        <v>49.99272100000023</v>
      </c>
      <c r="Y90" s="130">
        <f t="shared" si="41"/>
        <v>49.99272100000023</v>
      </c>
      <c r="Z90" s="130">
        <f t="shared" si="41"/>
        <v>49.99272100000023</v>
      </c>
      <c r="AA90" s="130">
        <f t="shared" si="41"/>
        <v>49.99272100000023</v>
      </c>
      <c r="AB90" s="130">
        <f t="shared" si="41"/>
        <v>49.99272100000023</v>
      </c>
      <c r="AC90" s="130">
        <f t="shared" si="41"/>
        <v>49.99272100000023</v>
      </c>
      <c r="AD90" s="130">
        <f t="shared" si="41"/>
        <v>49.99272100000023</v>
      </c>
    </row>
    <row r="91" spans="3:30" x14ac:dyDescent="0.2">
      <c r="C91" s="32" t="s">
        <v>155</v>
      </c>
      <c r="D91" s="33">
        <f>SUM(D83:D90)</f>
        <v>42.372464000000001</v>
      </c>
      <c r="E91" s="33">
        <f t="shared" ref="E91:AD91" si="42">SUM(E83:E90)</f>
        <v>53.912511000000002</v>
      </c>
      <c r="F91" s="33">
        <f t="shared" si="42"/>
        <v>53.341669999999993</v>
      </c>
      <c r="G91" s="33">
        <f t="shared" si="42"/>
        <v>61.730739999999997</v>
      </c>
      <c r="H91" s="33">
        <f t="shared" si="42"/>
        <v>47.401768000000004</v>
      </c>
      <c r="I91" s="33">
        <f t="shared" si="42"/>
        <v>62.565352000000004</v>
      </c>
      <c r="J91" s="33">
        <f t="shared" si="42"/>
        <v>62.565352000000004</v>
      </c>
      <c r="K91" s="33">
        <f t="shared" si="42"/>
        <v>63.375021999999994</v>
      </c>
      <c r="L91" s="33">
        <f t="shared" si="42"/>
        <v>118.70902799999999</v>
      </c>
      <c r="M91" s="33">
        <f t="shared" si="42"/>
        <v>123.550528</v>
      </c>
      <c r="N91" s="33">
        <f t="shared" si="42"/>
        <v>154.41698400000001</v>
      </c>
      <c r="O91" s="33">
        <f t="shared" si="42"/>
        <v>154.41698400000001</v>
      </c>
      <c r="P91" s="33">
        <f t="shared" si="42"/>
        <v>169.11916600000001</v>
      </c>
      <c r="Q91" s="33">
        <f t="shared" si="42"/>
        <v>171.48889399999999</v>
      </c>
      <c r="R91" s="33">
        <f t="shared" si="42"/>
        <v>142.517492</v>
      </c>
      <c r="S91" s="33">
        <f t="shared" si="42"/>
        <v>137.94961599999999</v>
      </c>
      <c r="T91" s="33">
        <f>SUM(T83:T90)</f>
        <v>137.94961599999999</v>
      </c>
      <c r="U91" s="33">
        <f t="shared" si="42"/>
        <v>137.94994600000024</v>
      </c>
      <c r="V91" s="33">
        <f t="shared" si="42"/>
        <v>137.94994600000024</v>
      </c>
      <c r="W91" s="33">
        <f t="shared" si="42"/>
        <v>137.94994600000024</v>
      </c>
      <c r="X91" s="33">
        <f t="shared" si="42"/>
        <v>137.94994600000024</v>
      </c>
      <c r="Y91" s="33">
        <f t="shared" si="42"/>
        <v>137.94994600000024</v>
      </c>
      <c r="Z91" s="33">
        <f t="shared" si="42"/>
        <v>137.94994600000024</v>
      </c>
      <c r="AA91" s="33">
        <f t="shared" si="42"/>
        <v>137.94994600000024</v>
      </c>
      <c r="AB91" s="33">
        <f t="shared" si="42"/>
        <v>137.94994600000024</v>
      </c>
      <c r="AC91" s="33">
        <f t="shared" si="42"/>
        <v>137.94994600000024</v>
      </c>
      <c r="AD91" s="33">
        <f t="shared" si="42"/>
        <v>137.94994600000024</v>
      </c>
    </row>
    <row r="92" spans="3:30" ht="5.0999999999999996" customHeight="1" x14ac:dyDescent="0.2">
      <c r="D92" s="37"/>
      <c r="E92" s="37"/>
      <c r="F92" s="37"/>
      <c r="G92" s="37"/>
      <c r="H92" s="37"/>
      <c r="I92" s="37"/>
      <c r="J92" s="37"/>
      <c r="K92" s="37"/>
      <c r="L92" s="37"/>
      <c r="M92" s="37"/>
      <c r="N92" s="37"/>
      <c r="O92" s="37"/>
      <c r="P92" s="37"/>
      <c r="Q92" s="37"/>
      <c r="R92" s="37"/>
      <c r="S92" s="37"/>
      <c r="T92" s="37"/>
    </row>
    <row r="93" spans="3:30" x14ac:dyDescent="0.2">
      <c r="C93" s="17" t="s">
        <v>157</v>
      </c>
      <c r="D93" s="34">
        <v>683.67638399999998</v>
      </c>
      <c r="E93" s="34">
        <v>759.21868800000004</v>
      </c>
      <c r="F93" s="34">
        <v>746.49343199999998</v>
      </c>
      <c r="G93" s="34">
        <v>555.97648500000003</v>
      </c>
      <c r="H93" s="34">
        <v>545.255944</v>
      </c>
      <c r="I93" s="34">
        <v>534.78345899999999</v>
      </c>
      <c r="J93" s="34">
        <v>534.78345899999999</v>
      </c>
      <c r="K93" s="34">
        <v>610.74762599999997</v>
      </c>
      <c r="L93" s="34">
        <v>698.27798700000005</v>
      </c>
      <c r="M93" s="34">
        <v>683.75126299999999</v>
      </c>
      <c r="N93" s="34">
        <v>668.23646299999996</v>
      </c>
      <c r="O93" s="34">
        <v>668.23646299999996</v>
      </c>
      <c r="P93" s="34">
        <v>651.17524400000002</v>
      </c>
      <c r="Q93" s="34">
        <v>636.157422</v>
      </c>
      <c r="R93" s="34">
        <v>626.39122599999996</v>
      </c>
      <c r="S93" s="34">
        <v>615.33386299999995</v>
      </c>
      <c r="T93" s="34">
        <v>615.33386299999995</v>
      </c>
      <c r="U93" s="130">
        <f t="shared" ref="U93:Y96" si="43">+T93</f>
        <v>615.33386299999995</v>
      </c>
      <c r="V93" s="130">
        <f t="shared" si="43"/>
        <v>615.33386299999995</v>
      </c>
      <c r="W93" s="130">
        <f t="shared" si="43"/>
        <v>615.33386299999995</v>
      </c>
      <c r="X93" s="130">
        <f t="shared" si="43"/>
        <v>615.33386299999995</v>
      </c>
      <c r="Y93" s="130">
        <f t="shared" si="43"/>
        <v>615.33386299999995</v>
      </c>
      <c r="Z93" s="40">
        <f>+Y93+Z59</f>
        <v>595.84665724999991</v>
      </c>
      <c r="AA93" s="40">
        <f>+Z93+AA59</f>
        <v>576.35945149999986</v>
      </c>
      <c r="AB93" s="40">
        <f>+AA93+AB59</f>
        <v>556.87224574999982</v>
      </c>
      <c r="AC93" s="40">
        <f>+AB93+AC59</f>
        <v>537.38503999999978</v>
      </c>
      <c r="AD93" s="130">
        <f>+AC93</f>
        <v>537.38503999999978</v>
      </c>
    </row>
    <row r="94" spans="3:30" x14ac:dyDescent="0.2">
      <c r="C94" s="17" t="s">
        <v>158</v>
      </c>
      <c r="D94" s="34">
        <v>5.3066000000000002E-2</v>
      </c>
      <c r="E94" s="34">
        <v>6.1175E-2</v>
      </c>
      <c r="F94" s="34">
        <v>6.1175E-2</v>
      </c>
      <c r="G94" s="34">
        <v>6.1175E-2</v>
      </c>
      <c r="H94" s="34">
        <v>6.1175E-2</v>
      </c>
      <c r="I94" s="34">
        <v>1.7294E-2</v>
      </c>
      <c r="J94" s="34">
        <v>1.7294E-2</v>
      </c>
      <c r="K94" s="34">
        <v>1.7294E-2</v>
      </c>
      <c r="L94" s="34">
        <v>1.7294E-2</v>
      </c>
      <c r="M94" s="34">
        <v>1.7294E-2</v>
      </c>
      <c r="N94" s="34">
        <v>2.3937E-2</v>
      </c>
      <c r="O94" s="34">
        <v>2.3937E-2</v>
      </c>
      <c r="P94" s="34">
        <v>2.3937E-2</v>
      </c>
      <c r="Q94" s="34">
        <v>2.3937E-2</v>
      </c>
      <c r="R94" s="34">
        <v>2.3937E-2</v>
      </c>
      <c r="S94" s="34">
        <v>3.2691999999999999E-2</v>
      </c>
      <c r="T94" s="34">
        <v>3.2691999999999999E-2</v>
      </c>
      <c r="U94" s="130">
        <f t="shared" si="43"/>
        <v>3.2691999999999999E-2</v>
      </c>
      <c r="V94" s="130">
        <f t="shared" si="43"/>
        <v>3.2691999999999999E-2</v>
      </c>
      <c r="W94" s="130">
        <f t="shared" si="43"/>
        <v>3.2691999999999999E-2</v>
      </c>
      <c r="X94" s="130">
        <f t="shared" si="43"/>
        <v>3.2691999999999999E-2</v>
      </c>
      <c r="Y94" s="130">
        <f t="shared" si="43"/>
        <v>3.2691999999999999E-2</v>
      </c>
      <c r="Z94" s="130">
        <f t="shared" ref="Z94:AC96" si="44">+Y94</f>
        <v>3.2691999999999999E-2</v>
      </c>
      <c r="AA94" s="130">
        <f t="shared" si="44"/>
        <v>3.2691999999999999E-2</v>
      </c>
      <c r="AB94" s="130">
        <f t="shared" si="44"/>
        <v>3.2691999999999999E-2</v>
      </c>
      <c r="AC94" s="130">
        <f t="shared" si="44"/>
        <v>3.2691999999999999E-2</v>
      </c>
      <c r="AD94" s="130">
        <f>+AC94</f>
        <v>3.2691999999999999E-2</v>
      </c>
    </row>
    <row r="95" spans="3:30" x14ac:dyDescent="0.2">
      <c r="C95" s="17" t="s">
        <v>149</v>
      </c>
      <c r="D95" s="34">
        <v>0</v>
      </c>
      <c r="E95" s="34">
        <v>1.116166</v>
      </c>
      <c r="F95" s="34">
        <v>0</v>
      </c>
      <c r="G95" s="34">
        <v>0</v>
      </c>
      <c r="H95" s="34">
        <v>0</v>
      </c>
      <c r="I95" s="34">
        <v>0</v>
      </c>
      <c r="J95" s="34">
        <v>0</v>
      </c>
      <c r="K95" s="34">
        <v>0</v>
      </c>
      <c r="L95" s="34">
        <v>0</v>
      </c>
      <c r="M95" s="34">
        <v>0</v>
      </c>
      <c r="N95" s="34">
        <v>0</v>
      </c>
      <c r="O95" s="34">
        <v>0</v>
      </c>
      <c r="P95" s="34">
        <v>0</v>
      </c>
      <c r="Q95" s="34">
        <v>2.6275E-2</v>
      </c>
      <c r="R95" s="34">
        <v>0.12470100000000001</v>
      </c>
      <c r="S95" s="34">
        <v>0</v>
      </c>
      <c r="T95" s="34">
        <v>0</v>
      </c>
      <c r="U95" s="130">
        <f t="shared" si="43"/>
        <v>0</v>
      </c>
      <c r="V95" s="130">
        <f t="shared" si="43"/>
        <v>0</v>
      </c>
      <c r="W95" s="130">
        <f t="shared" si="43"/>
        <v>0</v>
      </c>
      <c r="X95" s="130">
        <f t="shared" si="43"/>
        <v>0</v>
      </c>
      <c r="Y95" s="130">
        <f t="shared" si="43"/>
        <v>0</v>
      </c>
      <c r="Z95" s="130">
        <f t="shared" si="44"/>
        <v>0</v>
      </c>
      <c r="AA95" s="130">
        <f t="shared" si="44"/>
        <v>0</v>
      </c>
      <c r="AB95" s="130">
        <f t="shared" si="44"/>
        <v>0</v>
      </c>
      <c r="AC95" s="130">
        <f t="shared" si="44"/>
        <v>0</v>
      </c>
      <c r="AD95" s="130">
        <f>+AC95</f>
        <v>0</v>
      </c>
    </row>
    <row r="96" spans="3:30" x14ac:dyDescent="0.2">
      <c r="C96" s="17" t="s">
        <v>159</v>
      </c>
      <c r="D96" s="34">
        <v>0</v>
      </c>
      <c r="E96" s="34">
        <v>0</v>
      </c>
      <c r="F96" s="34">
        <v>0</v>
      </c>
      <c r="G96" s="34">
        <v>159.61305899999999</v>
      </c>
      <c r="H96" s="34">
        <v>132.071699</v>
      </c>
      <c r="I96" s="34">
        <v>0</v>
      </c>
      <c r="J96" s="34">
        <v>0</v>
      </c>
      <c r="K96" s="34">
        <v>0</v>
      </c>
      <c r="L96" s="34">
        <v>0</v>
      </c>
      <c r="M96" s="34">
        <v>0</v>
      </c>
      <c r="N96" s="34">
        <v>0</v>
      </c>
      <c r="O96" s="34">
        <v>0</v>
      </c>
      <c r="P96" s="34">
        <v>0</v>
      </c>
      <c r="Q96" s="34">
        <v>0</v>
      </c>
      <c r="R96" s="34">
        <v>0</v>
      </c>
      <c r="S96" s="34">
        <v>0</v>
      </c>
      <c r="T96" s="34">
        <v>0</v>
      </c>
      <c r="U96" s="130">
        <f t="shared" si="43"/>
        <v>0</v>
      </c>
      <c r="V96" s="130">
        <f t="shared" si="43"/>
        <v>0</v>
      </c>
      <c r="W96" s="130">
        <f t="shared" si="43"/>
        <v>0</v>
      </c>
      <c r="X96" s="130">
        <f t="shared" si="43"/>
        <v>0</v>
      </c>
      <c r="Y96" s="130">
        <f t="shared" si="43"/>
        <v>0</v>
      </c>
      <c r="Z96" s="130">
        <f t="shared" si="44"/>
        <v>0</v>
      </c>
      <c r="AA96" s="130">
        <f t="shared" si="44"/>
        <v>0</v>
      </c>
      <c r="AB96" s="130">
        <f t="shared" si="44"/>
        <v>0</v>
      </c>
      <c r="AC96" s="130">
        <f t="shared" si="44"/>
        <v>0</v>
      </c>
      <c r="AD96" s="130">
        <f>+AC96</f>
        <v>0</v>
      </c>
    </row>
    <row r="97" spans="3:30" x14ac:dyDescent="0.2">
      <c r="C97" s="32" t="s">
        <v>160</v>
      </c>
      <c r="D97" s="33">
        <f>SUM(D93:D96)</f>
        <v>683.72944999999993</v>
      </c>
      <c r="E97" s="33">
        <f t="shared" ref="E97:AD97" si="45">SUM(E93:E96)</f>
        <v>760.39602900000011</v>
      </c>
      <c r="F97" s="33">
        <f t="shared" si="45"/>
        <v>746.55460700000003</v>
      </c>
      <c r="G97" s="33">
        <f t="shared" si="45"/>
        <v>715.65071900000009</v>
      </c>
      <c r="H97" s="33">
        <f t="shared" si="45"/>
        <v>677.38881800000001</v>
      </c>
      <c r="I97" s="33">
        <f t="shared" si="45"/>
        <v>534.80075299999999</v>
      </c>
      <c r="J97" s="33">
        <f t="shared" si="45"/>
        <v>534.80075299999999</v>
      </c>
      <c r="K97" s="33">
        <f t="shared" si="45"/>
        <v>610.76491999999996</v>
      </c>
      <c r="L97" s="33">
        <f t="shared" si="45"/>
        <v>698.29528100000005</v>
      </c>
      <c r="M97" s="33">
        <f t="shared" si="45"/>
        <v>683.76855699999999</v>
      </c>
      <c r="N97" s="33">
        <f t="shared" si="45"/>
        <v>668.2604</v>
      </c>
      <c r="O97" s="33">
        <f t="shared" si="45"/>
        <v>668.2604</v>
      </c>
      <c r="P97" s="33">
        <f t="shared" si="45"/>
        <v>651.19918100000007</v>
      </c>
      <c r="Q97" s="33">
        <f t="shared" si="45"/>
        <v>636.2076340000001</v>
      </c>
      <c r="R97" s="33">
        <f t="shared" si="45"/>
        <v>626.53986399999997</v>
      </c>
      <c r="S97" s="33">
        <f t="shared" si="45"/>
        <v>615.36655499999995</v>
      </c>
      <c r="T97" s="33">
        <f>SUM(T93:T96)</f>
        <v>615.36655499999995</v>
      </c>
      <c r="U97" s="33">
        <f t="shared" si="45"/>
        <v>615.36655499999995</v>
      </c>
      <c r="V97" s="33">
        <f t="shared" si="45"/>
        <v>615.36655499999995</v>
      </c>
      <c r="W97" s="33">
        <f t="shared" si="45"/>
        <v>615.36655499999995</v>
      </c>
      <c r="X97" s="33">
        <f t="shared" si="45"/>
        <v>615.36655499999995</v>
      </c>
      <c r="Y97" s="33">
        <f t="shared" si="45"/>
        <v>615.36655499999995</v>
      </c>
      <c r="Z97" s="33">
        <f t="shared" si="45"/>
        <v>595.8793492499999</v>
      </c>
      <c r="AA97" s="33">
        <f t="shared" si="45"/>
        <v>576.39214349999986</v>
      </c>
      <c r="AB97" s="33">
        <f t="shared" si="45"/>
        <v>556.90493774999982</v>
      </c>
      <c r="AC97" s="33">
        <f t="shared" si="45"/>
        <v>537.41773199999977</v>
      </c>
      <c r="AD97" s="33">
        <f t="shared" si="45"/>
        <v>537.41773199999977</v>
      </c>
    </row>
    <row r="98" spans="3:30" ht="5.0999999999999996" customHeight="1" x14ac:dyDescent="0.2">
      <c r="D98" s="37"/>
      <c r="E98" s="37"/>
      <c r="F98" s="37"/>
      <c r="G98" s="37"/>
      <c r="H98" s="37"/>
      <c r="I98" s="37"/>
      <c r="J98" s="37"/>
      <c r="K98" s="37"/>
      <c r="L98" s="37"/>
      <c r="M98" s="37"/>
      <c r="N98" s="37"/>
      <c r="O98" s="37"/>
      <c r="P98" s="37"/>
      <c r="Q98" s="37"/>
      <c r="R98" s="37"/>
      <c r="S98" s="37"/>
      <c r="T98" s="37"/>
    </row>
    <row r="99" spans="3:30" x14ac:dyDescent="0.2">
      <c r="C99" s="17" t="s">
        <v>116</v>
      </c>
      <c r="D99" s="34">
        <v>13.95307</v>
      </c>
      <c r="E99" s="34">
        <v>17.697198</v>
      </c>
      <c r="F99" s="34">
        <v>17.098984000000002</v>
      </c>
      <c r="G99" s="34">
        <v>25.515298000000001</v>
      </c>
      <c r="H99" s="34">
        <v>21.209855999999998</v>
      </c>
      <c r="I99" s="34">
        <v>15.960456000000001</v>
      </c>
      <c r="J99" s="34">
        <v>15.960456000000001</v>
      </c>
      <c r="K99" s="34">
        <v>15.177417999999999</v>
      </c>
      <c r="L99" s="34">
        <v>20.793313999999999</v>
      </c>
      <c r="M99" s="34">
        <v>19.447164000000001</v>
      </c>
      <c r="N99" s="34">
        <v>11.771964000000001</v>
      </c>
      <c r="O99" s="34">
        <v>11.771964000000001</v>
      </c>
      <c r="P99" s="34">
        <v>19.185012</v>
      </c>
      <c r="Q99" s="34">
        <v>23.010619999999999</v>
      </c>
      <c r="R99" s="34">
        <v>25.130645999999999</v>
      </c>
      <c r="S99" s="34">
        <v>23.522506</v>
      </c>
      <c r="T99" s="34">
        <v>23.522506</v>
      </c>
      <c r="U99" s="130">
        <f t="shared" ref="U99:AD99" si="46">+T99</f>
        <v>23.522506</v>
      </c>
      <c r="V99" s="130">
        <f t="shared" si="46"/>
        <v>23.522506</v>
      </c>
      <c r="W99" s="130">
        <f t="shared" si="46"/>
        <v>23.522506</v>
      </c>
      <c r="X99" s="130">
        <f t="shared" si="46"/>
        <v>23.522506</v>
      </c>
      <c r="Y99" s="130">
        <f t="shared" si="46"/>
        <v>23.522506</v>
      </c>
      <c r="Z99" s="130">
        <f t="shared" si="46"/>
        <v>23.522506</v>
      </c>
      <c r="AA99" s="130">
        <f t="shared" si="46"/>
        <v>23.522506</v>
      </c>
      <c r="AB99" s="130">
        <f t="shared" si="46"/>
        <v>23.522506</v>
      </c>
      <c r="AC99" s="130">
        <f t="shared" si="46"/>
        <v>23.522506</v>
      </c>
      <c r="AD99" s="130">
        <f t="shared" si="46"/>
        <v>23.522506</v>
      </c>
    </row>
    <row r="100" spans="3:30" x14ac:dyDescent="0.2">
      <c r="C100" s="17" t="s">
        <v>117</v>
      </c>
      <c r="D100" s="34">
        <v>4.3848149999999997</v>
      </c>
      <c r="E100" s="34">
        <v>2.3068680000000001</v>
      </c>
      <c r="F100" s="34">
        <v>2.5605820000000001</v>
      </c>
      <c r="G100" s="34">
        <v>3.2534160000000001</v>
      </c>
      <c r="H100" s="34">
        <v>3.2349489999999999</v>
      </c>
      <c r="I100" s="34">
        <v>2.623745</v>
      </c>
      <c r="J100" s="34">
        <v>2.623745</v>
      </c>
      <c r="K100" s="34">
        <v>2.8369339999999998</v>
      </c>
      <c r="L100" s="34">
        <v>2.9288729999999998</v>
      </c>
      <c r="M100" s="34">
        <v>4.4763460000000004</v>
      </c>
      <c r="N100" s="34">
        <v>6.0248989999999996</v>
      </c>
      <c r="O100" s="34">
        <v>6.0248989999999996</v>
      </c>
      <c r="P100" s="34">
        <v>4.6969719999999997</v>
      </c>
      <c r="Q100" s="34">
        <v>5.5288069999999996</v>
      </c>
      <c r="R100" s="34">
        <v>4.3495470000000003</v>
      </c>
      <c r="S100" s="34">
        <v>3.485042</v>
      </c>
      <c r="T100" s="34">
        <v>3.485042</v>
      </c>
      <c r="U100" s="130">
        <f t="shared" ref="U100:AD100" si="47">+T100</f>
        <v>3.485042</v>
      </c>
      <c r="V100" s="130">
        <f t="shared" si="47"/>
        <v>3.485042</v>
      </c>
      <c r="W100" s="130">
        <f t="shared" si="47"/>
        <v>3.485042</v>
      </c>
      <c r="X100" s="130">
        <f t="shared" si="47"/>
        <v>3.485042</v>
      </c>
      <c r="Y100" s="130">
        <f t="shared" si="47"/>
        <v>3.485042</v>
      </c>
      <c r="Z100" s="130">
        <f t="shared" si="47"/>
        <v>3.485042</v>
      </c>
      <c r="AA100" s="130">
        <f t="shared" si="47"/>
        <v>3.485042</v>
      </c>
      <c r="AB100" s="130">
        <f t="shared" si="47"/>
        <v>3.485042</v>
      </c>
      <c r="AC100" s="130">
        <f t="shared" si="47"/>
        <v>3.485042</v>
      </c>
      <c r="AD100" s="130">
        <f t="shared" si="47"/>
        <v>3.485042</v>
      </c>
    </row>
    <row r="101" spans="3:30" x14ac:dyDescent="0.2">
      <c r="C101" s="17" t="s">
        <v>161</v>
      </c>
      <c r="D101" s="34">
        <v>4.9191260000000003</v>
      </c>
      <c r="E101" s="34">
        <v>6.4622919999999997</v>
      </c>
      <c r="F101" s="34">
        <v>5.8114670000000004</v>
      </c>
      <c r="G101" s="34">
        <v>0.496</v>
      </c>
      <c r="H101" s="34">
        <v>3.472</v>
      </c>
      <c r="I101" s="34">
        <v>0</v>
      </c>
      <c r="J101" s="34">
        <v>0</v>
      </c>
      <c r="K101" s="34">
        <v>0</v>
      </c>
      <c r="L101" s="34">
        <v>2.2087500000000002</v>
      </c>
      <c r="M101" s="34">
        <v>3.3479999999999999</v>
      </c>
      <c r="N101" s="34">
        <v>4.2554999999999996</v>
      </c>
      <c r="O101" s="34">
        <v>4.2554999999999996</v>
      </c>
      <c r="P101" s="34">
        <v>4.1475</v>
      </c>
      <c r="Q101" s="34">
        <v>1.7902499999999999</v>
      </c>
      <c r="R101" s="34">
        <v>1.7902499999999999</v>
      </c>
      <c r="S101" s="34">
        <v>0</v>
      </c>
      <c r="T101" s="34">
        <v>0</v>
      </c>
      <c r="U101" s="130">
        <f t="shared" ref="U101:AD101" si="48">+T101</f>
        <v>0</v>
      </c>
      <c r="V101" s="130">
        <f t="shared" si="48"/>
        <v>0</v>
      </c>
      <c r="W101" s="130">
        <f t="shared" si="48"/>
        <v>0</v>
      </c>
      <c r="X101" s="130">
        <f t="shared" si="48"/>
        <v>0</v>
      </c>
      <c r="Y101" s="130">
        <f t="shared" si="48"/>
        <v>0</v>
      </c>
      <c r="Z101" s="130">
        <f t="shared" si="48"/>
        <v>0</v>
      </c>
      <c r="AA101" s="130">
        <f t="shared" si="48"/>
        <v>0</v>
      </c>
      <c r="AB101" s="130">
        <f t="shared" si="48"/>
        <v>0</v>
      </c>
      <c r="AC101" s="130">
        <f t="shared" si="48"/>
        <v>0</v>
      </c>
      <c r="AD101" s="130">
        <f t="shared" si="48"/>
        <v>0</v>
      </c>
    </row>
    <row r="102" spans="3:30" x14ac:dyDescent="0.2">
      <c r="C102" s="17" t="s">
        <v>132</v>
      </c>
      <c r="D102" s="34">
        <v>13.123754999999999</v>
      </c>
      <c r="E102" s="34">
        <v>0.379803</v>
      </c>
      <c r="F102" s="34">
        <v>0.43914199999999998</v>
      </c>
      <c r="G102" s="34">
        <v>0.991753</v>
      </c>
      <c r="H102" s="34">
        <v>0.954403</v>
      </c>
      <c r="I102" s="34">
        <v>0.69815300000000002</v>
      </c>
      <c r="J102" s="34">
        <v>0.69815300000000002</v>
      </c>
      <c r="K102" s="34">
        <v>3.3417379999999999</v>
      </c>
      <c r="L102" s="34">
        <v>3.9370069999999999</v>
      </c>
      <c r="M102" s="34">
        <v>0.72925300000000004</v>
      </c>
      <c r="N102" s="34">
        <v>0</v>
      </c>
      <c r="O102" s="34">
        <v>0</v>
      </c>
      <c r="P102" s="34">
        <v>0</v>
      </c>
      <c r="Q102" s="34">
        <v>0.62785000000000002</v>
      </c>
      <c r="R102" s="34">
        <v>0.43634000000000001</v>
      </c>
      <c r="S102" s="34">
        <v>0.65997399999999995</v>
      </c>
      <c r="T102" s="34">
        <v>0.65997399999999995</v>
      </c>
      <c r="U102" s="130">
        <f t="shared" ref="U102:AD102" si="49">+T102</f>
        <v>0.65997399999999995</v>
      </c>
      <c r="V102" s="130">
        <f t="shared" si="49"/>
        <v>0.65997399999999995</v>
      </c>
      <c r="W102" s="130">
        <f t="shared" si="49"/>
        <v>0.65997399999999995</v>
      </c>
      <c r="X102" s="130">
        <f t="shared" si="49"/>
        <v>0.65997399999999995</v>
      </c>
      <c r="Y102" s="130">
        <f t="shared" si="49"/>
        <v>0.65997399999999995</v>
      </c>
      <c r="Z102" s="130">
        <f t="shared" si="49"/>
        <v>0.65997399999999995</v>
      </c>
      <c r="AA102" s="130">
        <f t="shared" si="49"/>
        <v>0.65997399999999995</v>
      </c>
      <c r="AB102" s="130">
        <f t="shared" si="49"/>
        <v>0.65997399999999995</v>
      </c>
      <c r="AC102" s="130">
        <f t="shared" si="49"/>
        <v>0.65997399999999995</v>
      </c>
      <c r="AD102" s="130">
        <f t="shared" si="49"/>
        <v>0.65997399999999995</v>
      </c>
    </row>
    <row r="103" spans="3:30" x14ac:dyDescent="0.2">
      <c r="C103" s="17" t="s">
        <v>149</v>
      </c>
      <c r="D103" s="34">
        <v>0</v>
      </c>
      <c r="E103" s="34">
        <v>0</v>
      </c>
      <c r="F103" s="34"/>
      <c r="G103" s="34"/>
      <c r="H103" s="34"/>
      <c r="I103" s="34"/>
      <c r="J103" s="34">
        <v>0</v>
      </c>
      <c r="K103" s="34">
        <v>0</v>
      </c>
      <c r="L103" s="34">
        <v>0</v>
      </c>
      <c r="M103" s="34">
        <v>0</v>
      </c>
      <c r="N103" s="34">
        <v>0</v>
      </c>
      <c r="O103" s="34">
        <v>0</v>
      </c>
      <c r="P103" s="34">
        <v>0</v>
      </c>
      <c r="Q103" s="34">
        <v>6.4717999999999998E-2</v>
      </c>
      <c r="R103" s="34">
        <v>0.50353999999999999</v>
      </c>
      <c r="S103" s="34">
        <v>0</v>
      </c>
      <c r="T103" s="34">
        <v>0</v>
      </c>
      <c r="U103" s="130">
        <f t="shared" ref="U103:AD103" si="50">+T103</f>
        <v>0</v>
      </c>
      <c r="V103" s="130">
        <f t="shared" si="50"/>
        <v>0</v>
      </c>
      <c r="W103" s="130">
        <f t="shared" si="50"/>
        <v>0</v>
      </c>
      <c r="X103" s="130">
        <f t="shared" si="50"/>
        <v>0</v>
      </c>
      <c r="Y103" s="130">
        <f t="shared" si="50"/>
        <v>0</v>
      </c>
      <c r="Z103" s="130">
        <f t="shared" si="50"/>
        <v>0</v>
      </c>
      <c r="AA103" s="130">
        <f t="shared" si="50"/>
        <v>0</v>
      </c>
      <c r="AB103" s="130">
        <f t="shared" si="50"/>
        <v>0</v>
      </c>
      <c r="AC103" s="130">
        <f t="shared" si="50"/>
        <v>0</v>
      </c>
      <c r="AD103" s="130">
        <f t="shared" si="50"/>
        <v>0</v>
      </c>
    </row>
    <row r="104" spans="3:30" x14ac:dyDescent="0.2">
      <c r="C104" s="17" t="s">
        <v>162</v>
      </c>
      <c r="D104" s="34">
        <v>49.029313000000002</v>
      </c>
      <c r="E104" s="34">
        <v>75.257953000000001</v>
      </c>
      <c r="F104" s="34">
        <v>74.556004999999999</v>
      </c>
      <c r="G104" s="34">
        <v>42.570359000000003</v>
      </c>
      <c r="H104" s="34">
        <v>42.524805999999998</v>
      </c>
      <c r="I104" s="34">
        <v>42.212809999999998</v>
      </c>
      <c r="J104" s="34">
        <v>42.212809999999998</v>
      </c>
      <c r="K104" s="34">
        <v>45.662382999999998</v>
      </c>
      <c r="L104" s="34">
        <v>64.858097000000001</v>
      </c>
      <c r="M104" s="34">
        <v>67.298096000000001</v>
      </c>
      <c r="N104" s="34">
        <v>70.799217999999996</v>
      </c>
      <c r="O104" s="34">
        <v>70.799217999999996</v>
      </c>
      <c r="P104" s="34">
        <v>75.855941000000001</v>
      </c>
      <c r="Q104" s="34">
        <v>77.941958</v>
      </c>
      <c r="R104" s="34">
        <v>77.698549999999997</v>
      </c>
      <c r="S104" s="34">
        <v>77.948823000000004</v>
      </c>
      <c r="T104" s="34">
        <v>77.948823000000004</v>
      </c>
      <c r="U104" s="40">
        <f>+T104+U59</f>
        <v>58.461617250000003</v>
      </c>
      <c r="V104" s="40">
        <f>+U104+V59</f>
        <v>38.974411500000002</v>
      </c>
      <c r="W104" s="40">
        <f>+V104+W59</f>
        <v>19.487205750000001</v>
      </c>
      <c r="X104" s="40">
        <f>+W104+X59</f>
        <v>0</v>
      </c>
      <c r="Y104" s="40">
        <f>+X104</f>
        <v>0</v>
      </c>
      <c r="Z104" s="40">
        <v>0</v>
      </c>
      <c r="AA104" s="40">
        <v>0</v>
      </c>
      <c r="AB104" s="40">
        <v>0</v>
      </c>
      <c r="AC104" s="40">
        <v>0</v>
      </c>
      <c r="AD104" s="40">
        <f>+AC104</f>
        <v>0</v>
      </c>
    </row>
    <row r="105" spans="3:30" x14ac:dyDescent="0.2">
      <c r="C105" s="32" t="s">
        <v>163</v>
      </c>
      <c r="D105" s="33">
        <f>SUM(D99:D104)</f>
        <v>85.410078999999996</v>
      </c>
      <c r="E105" s="33">
        <f t="shared" ref="E105:AD105" si="51">SUM(E99:E104)</f>
        <v>102.104114</v>
      </c>
      <c r="F105" s="33">
        <f t="shared" si="51"/>
        <v>100.46618000000001</v>
      </c>
      <c r="G105" s="33">
        <f t="shared" si="51"/>
        <v>72.826826000000011</v>
      </c>
      <c r="H105" s="33">
        <f t="shared" si="51"/>
        <v>71.396013999999994</v>
      </c>
      <c r="I105" s="33">
        <f t="shared" si="51"/>
        <v>61.495164000000003</v>
      </c>
      <c r="J105" s="33">
        <f t="shared" si="51"/>
        <v>61.495164000000003</v>
      </c>
      <c r="K105" s="33">
        <f t="shared" si="51"/>
        <v>67.018473</v>
      </c>
      <c r="L105" s="33">
        <f t="shared" si="51"/>
        <v>94.726041000000009</v>
      </c>
      <c r="M105" s="33">
        <f t="shared" si="51"/>
        <v>95.298858999999993</v>
      </c>
      <c r="N105" s="33">
        <f t="shared" si="51"/>
        <v>92.851580999999996</v>
      </c>
      <c r="O105" s="33">
        <f t="shared" si="51"/>
        <v>92.851580999999996</v>
      </c>
      <c r="P105" s="33">
        <f t="shared" si="51"/>
        <v>103.885425</v>
      </c>
      <c r="Q105" s="33">
        <f t="shared" si="51"/>
        <v>108.964203</v>
      </c>
      <c r="R105" s="33">
        <f t="shared" si="51"/>
        <v>109.908873</v>
      </c>
      <c r="S105" s="33">
        <f t="shared" si="51"/>
        <v>105.616345</v>
      </c>
      <c r="T105" s="33">
        <f>SUM(T99:T104)</f>
        <v>105.616345</v>
      </c>
      <c r="U105" s="33">
        <f t="shared" si="51"/>
        <v>86.129139250000009</v>
      </c>
      <c r="V105" s="33">
        <f t="shared" si="51"/>
        <v>66.641933499999993</v>
      </c>
      <c r="W105" s="33">
        <f t="shared" si="51"/>
        <v>47.154727749999999</v>
      </c>
      <c r="X105" s="33">
        <f t="shared" si="51"/>
        <v>27.667521999999998</v>
      </c>
      <c r="Y105" s="33">
        <f>SUM(Y99:Y104)</f>
        <v>27.667521999999998</v>
      </c>
      <c r="Z105" s="33">
        <f t="shared" si="51"/>
        <v>27.667521999999998</v>
      </c>
      <c r="AA105" s="33">
        <f t="shared" si="51"/>
        <v>27.667521999999998</v>
      </c>
      <c r="AB105" s="33">
        <f t="shared" si="51"/>
        <v>27.667521999999998</v>
      </c>
      <c r="AC105" s="33">
        <f t="shared" si="51"/>
        <v>27.667521999999998</v>
      </c>
      <c r="AD105" s="33">
        <f t="shared" si="51"/>
        <v>27.667521999999998</v>
      </c>
    </row>
    <row r="106" spans="3:30" ht="5.0999999999999996" customHeight="1" x14ac:dyDescent="0.2">
      <c r="D106" s="37"/>
      <c r="E106" s="37"/>
      <c r="F106" s="37"/>
      <c r="G106" s="37"/>
      <c r="H106" s="37"/>
      <c r="I106" s="37"/>
      <c r="J106" s="37"/>
      <c r="K106" s="37"/>
      <c r="L106" s="37"/>
      <c r="M106" s="37"/>
      <c r="N106" s="37"/>
      <c r="O106" s="37"/>
      <c r="P106" s="37"/>
      <c r="Q106" s="37"/>
      <c r="R106" s="37"/>
      <c r="S106" s="37"/>
      <c r="T106" s="37"/>
    </row>
    <row r="107" spans="3:30" x14ac:dyDescent="0.2">
      <c r="C107" s="32" t="s">
        <v>164</v>
      </c>
      <c r="D107" s="41">
        <v>341.69430299999999</v>
      </c>
      <c r="E107" s="41">
        <v>397.22819299999998</v>
      </c>
      <c r="F107" s="41">
        <v>401.35038500000002</v>
      </c>
      <c r="G107" s="41">
        <v>368.98913399999998</v>
      </c>
      <c r="H107" s="41">
        <v>364.28129100000001</v>
      </c>
      <c r="I107" s="41">
        <v>358.29285800000002</v>
      </c>
      <c r="J107" s="41">
        <v>358.29285800000002</v>
      </c>
      <c r="K107" s="41">
        <v>366.56251700000001</v>
      </c>
      <c r="L107" s="41">
        <v>374.50490300000001</v>
      </c>
      <c r="M107" s="41">
        <v>383.61647799999997</v>
      </c>
      <c r="N107" s="41">
        <v>422.24326100000002</v>
      </c>
      <c r="O107" s="41">
        <v>422.24326100000002</v>
      </c>
      <c r="P107" s="41">
        <v>433.60438199999999</v>
      </c>
      <c r="Q107" s="41">
        <v>435.03146199999998</v>
      </c>
      <c r="R107" s="41">
        <v>406.189481</v>
      </c>
      <c r="S107" s="41">
        <v>408.13214799999997</v>
      </c>
      <c r="T107" s="41">
        <v>408.13214799999997</v>
      </c>
      <c r="U107" s="41">
        <f>+T107+U27+U64+U60+U63</f>
        <v>417.84228874999997</v>
      </c>
      <c r="V107" s="41">
        <f>+U107+V27+V64+V60+V63</f>
        <v>427.55242949999996</v>
      </c>
      <c r="W107" s="41">
        <f>+V107+W27+W64+W60+W63</f>
        <v>437.26257024999995</v>
      </c>
      <c r="X107" s="41">
        <f>+W107+X27+X64+X60+X63</f>
        <v>446.97271099999995</v>
      </c>
      <c r="Y107" s="41">
        <f>+X107</f>
        <v>446.97271099999995</v>
      </c>
      <c r="Z107" s="41">
        <f>+Y107+Z27+Z64+Z60+Z63</f>
        <v>456.68285175</v>
      </c>
      <c r="AA107" s="41">
        <f>+Z107+AA27+AA64+AA60+AA63</f>
        <v>466.39299249999999</v>
      </c>
      <c r="AB107" s="41">
        <f>+AA107+AB27+AB64+AB60+AB63</f>
        <v>476.10313324999998</v>
      </c>
      <c r="AC107" s="41">
        <f>+AB107+AC27+AC64+AC60+AC63</f>
        <v>485.81327399999998</v>
      </c>
      <c r="AD107" s="41">
        <f>+AC107</f>
        <v>485.81327399999998</v>
      </c>
    </row>
    <row r="108" spans="3:30" x14ac:dyDescent="0.2">
      <c r="C108" s="17" t="s">
        <v>165</v>
      </c>
      <c r="D108" s="37">
        <f>ROUNDDOWN(+D81+D91-D97-D105-D107,2)</f>
        <v>0</v>
      </c>
      <c r="E108" s="37">
        <f t="shared" ref="E108:AD108" si="52">ROUNDDOWN(+E81+E91-E97-E105-E107,2)</f>
        <v>0</v>
      </c>
      <c r="F108" s="37">
        <f t="shared" si="52"/>
        <v>0</v>
      </c>
      <c r="G108" s="37">
        <f t="shared" si="52"/>
        <v>0</v>
      </c>
      <c r="H108" s="37">
        <f t="shared" si="52"/>
        <v>0</v>
      </c>
      <c r="I108" s="37">
        <f t="shared" si="52"/>
        <v>0</v>
      </c>
      <c r="J108" s="37">
        <f t="shared" si="52"/>
        <v>0</v>
      </c>
      <c r="K108" s="37">
        <f t="shared" si="52"/>
        <v>0</v>
      </c>
      <c r="L108" s="37">
        <f t="shared" si="52"/>
        <v>0</v>
      </c>
      <c r="M108" s="37">
        <f t="shared" si="52"/>
        <v>0</v>
      </c>
      <c r="N108" s="37">
        <f t="shared" si="52"/>
        <v>0</v>
      </c>
      <c r="O108" s="37">
        <f t="shared" si="52"/>
        <v>0</v>
      </c>
      <c r="P108" s="37">
        <f t="shared" si="52"/>
        <v>0</v>
      </c>
      <c r="Q108" s="37">
        <f t="shared" si="52"/>
        <v>0</v>
      </c>
      <c r="R108" s="37">
        <f t="shared" si="52"/>
        <v>0</v>
      </c>
      <c r="S108" s="37">
        <f t="shared" si="52"/>
        <v>0</v>
      </c>
      <c r="T108" s="37">
        <f t="shared" si="52"/>
        <v>0</v>
      </c>
      <c r="U108" s="37">
        <f t="shared" si="52"/>
        <v>0</v>
      </c>
      <c r="V108" s="37">
        <f t="shared" si="52"/>
        <v>0</v>
      </c>
      <c r="W108" s="37">
        <f t="shared" si="52"/>
        <v>0</v>
      </c>
      <c r="X108" s="37">
        <f t="shared" si="52"/>
        <v>0</v>
      </c>
      <c r="Y108" s="37">
        <f t="shared" si="52"/>
        <v>0</v>
      </c>
      <c r="Z108" s="37">
        <f t="shared" si="52"/>
        <v>0</v>
      </c>
      <c r="AA108" s="37">
        <f t="shared" si="52"/>
        <v>0</v>
      </c>
      <c r="AB108" s="37">
        <f t="shared" si="52"/>
        <v>0</v>
      </c>
      <c r="AC108" s="37">
        <f t="shared" si="52"/>
        <v>0</v>
      </c>
      <c r="AD108" s="37">
        <f t="shared" si="52"/>
        <v>0</v>
      </c>
    </row>
    <row r="109" spans="3:30" ht="5.0999999999999996" customHeight="1" x14ac:dyDescent="0.2">
      <c r="D109" s="37"/>
      <c r="E109" s="37"/>
      <c r="F109" s="37"/>
      <c r="G109" s="37"/>
      <c r="H109" s="37"/>
      <c r="I109" s="37"/>
      <c r="J109" s="37"/>
      <c r="K109" s="37"/>
      <c r="L109" s="37"/>
      <c r="M109" s="37"/>
      <c r="N109" s="37"/>
      <c r="O109" s="37"/>
      <c r="P109" s="37"/>
      <c r="Q109" s="37"/>
      <c r="R109" s="37"/>
    </row>
    <row r="110" spans="3:30" x14ac:dyDescent="0.2">
      <c r="C110" s="30" t="s">
        <v>166</v>
      </c>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row>
    <row r="111" spans="3:30" x14ac:dyDescent="0.2">
      <c r="C111" s="17" t="s">
        <v>93</v>
      </c>
      <c r="D111" s="38">
        <f t="shared" ref="D111:R111" si="53">+D27/D113</f>
        <v>0.35285816091019195</v>
      </c>
      <c r="E111" s="38">
        <f t="shared" si="53"/>
        <v>3.1210918982329834</v>
      </c>
      <c r="F111" s="38">
        <f t="shared" si="53"/>
        <v>0.22676973134073697</v>
      </c>
      <c r="G111" s="38">
        <f t="shared" si="53"/>
        <v>-0.24954700124787202</v>
      </c>
      <c r="H111" s="38">
        <f t="shared" si="53"/>
        <v>-0.14541188130671323</v>
      </c>
      <c r="I111" s="38">
        <f t="shared" si="53"/>
        <v>0.14037197898172729</v>
      </c>
      <c r="J111" s="38">
        <f t="shared" si="53"/>
        <v>-2.7889833290567569E-2</v>
      </c>
      <c r="K111" s="38">
        <f t="shared" si="53"/>
        <v>0.2883073511463653</v>
      </c>
      <c r="L111" s="38">
        <f t="shared" si="53"/>
        <v>0.24670309237951249</v>
      </c>
      <c r="M111" s="38">
        <f t="shared" si="53"/>
        <v>0.58732501611785581</v>
      </c>
      <c r="N111" s="38">
        <f t="shared" si="53"/>
        <v>1.5042319544930394</v>
      </c>
      <c r="O111" s="38">
        <f t="shared" si="53"/>
        <v>2.6265674141367721</v>
      </c>
      <c r="P111" s="38">
        <f t="shared" si="53"/>
        <v>1.6028944178232858</v>
      </c>
      <c r="Q111" s="38">
        <f t="shared" si="53"/>
        <v>1.6443273719526568</v>
      </c>
      <c r="R111" s="38">
        <f t="shared" si="53"/>
        <v>0.60412237543590264</v>
      </c>
      <c r="S111" s="38">
        <f t="shared" ref="S111:AD111" si="54">+S27/S113</f>
        <v>0.66038276320623635</v>
      </c>
      <c r="T111" s="38">
        <f t="shared" si="54"/>
        <v>4.5117269284180832</v>
      </c>
      <c r="U111" s="38">
        <f t="shared" si="54"/>
        <v>1.3488600310070988</v>
      </c>
      <c r="V111" s="38">
        <f t="shared" si="54"/>
        <v>0.95928350475234947</v>
      </c>
      <c r="W111" s="38">
        <f t="shared" si="54"/>
        <v>0.87211280662027935</v>
      </c>
      <c r="X111" s="38">
        <f t="shared" si="54"/>
        <v>1.8434824165470629</v>
      </c>
      <c r="Y111" s="38">
        <f t="shared" si="54"/>
        <v>5.0237387589267897</v>
      </c>
      <c r="Z111" s="38">
        <f t="shared" si="54"/>
        <v>1.9342533156786912</v>
      </c>
      <c r="AA111" s="38">
        <f t="shared" si="54"/>
        <v>1.6886555848734375</v>
      </c>
      <c r="AB111" s="38">
        <f t="shared" si="54"/>
        <v>1.5599221573127404</v>
      </c>
      <c r="AC111" s="38">
        <f t="shared" si="54"/>
        <v>2.7724671400748271</v>
      </c>
      <c r="AD111" s="38">
        <f t="shared" si="54"/>
        <v>7.9552981979396957</v>
      </c>
    </row>
    <row r="112" spans="3:30" x14ac:dyDescent="0.2">
      <c r="C112" s="17" t="s">
        <v>94</v>
      </c>
      <c r="D112" s="38">
        <f>+D111/'Stocks Valuation'!$D$35</f>
        <v>3.7375083244380041</v>
      </c>
      <c r="E112" s="38">
        <f>+E111/'Stocks Valuation'!$D$35</f>
        <v>33.058912172788723</v>
      </c>
      <c r="F112" s="38">
        <f>+F111/'Stocks Valuation'!$D$35</f>
        <v>2.4019672846174873</v>
      </c>
      <c r="G112" s="38">
        <f>+G111/'Stocks Valuation'!$D$35</f>
        <v>-2.6432263663581406</v>
      </c>
      <c r="H112" s="38">
        <f>+H111/'Stocks Valuation'!$D$35</f>
        <v>-1.5402169400139101</v>
      </c>
      <c r="I112" s="38">
        <f>+I111/'Stocks Valuation'!$D$35</f>
        <v>1.4868337991921121</v>
      </c>
      <c r="J112" s="38">
        <f>+J111/'Stocks Valuation'!$D$35</f>
        <v>-0.29541185563571204</v>
      </c>
      <c r="K112" s="38">
        <f>+K111/'Stocks Valuation'!$D$35</f>
        <v>3.0537798024188678</v>
      </c>
      <c r="L112" s="38">
        <f>+L111/'Stocks Valuation'!$D$35</f>
        <v>2.6131034040833865</v>
      </c>
      <c r="M112" s="38">
        <f>+M111/'Stocks Valuation'!$D$35</f>
        <v>6.2210043016402485</v>
      </c>
      <c r="N112" s="38">
        <f>+N111/'Stocks Valuation'!$D$35</f>
        <v>15.932972719977116</v>
      </c>
      <c r="O112" s="38">
        <f>+O111/'Stocks Valuation'!$D$35</f>
        <v>27.82086022811961</v>
      </c>
      <c r="P112" s="38">
        <f>+P111/'Stocks Valuation'!$D$35</f>
        <v>16.978015229565575</v>
      </c>
      <c r="Q112" s="38">
        <f>+Q111/'Stocks Valuation'!$D$35</f>
        <v>17.416877152342515</v>
      </c>
      <c r="R112" s="38">
        <f>+R111/'Stocks Valuation'!$D$35</f>
        <v>6.398923582627928</v>
      </c>
      <c r="S112" s="38">
        <f>+S111/'Stocks Valuation'!$D$35</f>
        <v>6.9948391399876746</v>
      </c>
      <c r="T112" s="38">
        <f>+T111/'Stocks Valuation'!$D$35</f>
        <v>47.788655104523713</v>
      </c>
      <c r="U112" s="38">
        <f>+U111/'Stocks Valuation'!$D$35</f>
        <v>14.287258034181749</v>
      </c>
      <c r="V112" s="38">
        <f>+V111/'Stocks Valuation'!$D$35</f>
        <v>10.160825174794509</v>
      </c>
      <c r="W112" s="38">
        <f>+W111/'Stocks Valuation'!$D$35</f>
        <v>9.2375045717644255</v>
      </c>
      <c r="X112" s="38">
        <f>+X111/'Stocks Valuation'!$D$35</f>
        <v>19.526346960566286</v>
      </c>
      <c r="Y112" s="38">
        <f>+Y111/'Stocks Valuation'!$D$35</f>
        <v>53.211934741306962</v>
      </c>
      <c r="Z112" s="38">
        <f>+Z111/'Stocks Valuation'!$D$35</f>
        <v>20.487801246464265</v>
      </c>
      <c r="AA112" s="38">
        <f>+AA111/'Stocks Valuation'!$D$35</f>
        <v>17.886405940826581</v>
      </c>
      <c r="AB112" s="38">
        <f>+AB111/'Stocks Valuation'!$D$35</f>
        <v>16.522848822293618</v>
      </c>
      <c r="AC112" s="38">
        <f>+AC111/'Stocks Valuation'!$D$35</f>
        <v>29.366244466421218</v>
      </c>
      <c r="AD112" s="38">
        <f>+AD111/'Stocks Valuation'!$D$35</f>
        <v>84.263300476005682</v>
      </c>
    </row>
    <row r="113" spans="3:30" x14ac:dyDescent="0.2">
      <c r="C113" s="17" t="s">
        <v>95</v>
      </c>
      <c r="D113" s="34">
        <v>32.263263999999999</v>
      </c>
      <c r="E113" s="34">
        <v>32.462659000000002</v>
      </c>
      <c r="F113" s="34">
        <v>32.375917000000001</v>
      </c>
      <c r="G113" s="34">
        <v>32.375917000000001</v>
      </c>
      <c r="H113" s="34">
        <v>32.375917000000001</v>
      </c>
      <c r="I113" s="34">
        <v>32.361936</v>
      </c>
      <c r="J113" s="34">
        <v>32.361936</v>
      </c>
      <c r="K113" s="34">
        <v>32.194108</v>
      </c>
      <c r="L113" s="34">
        <v>32.194108</v>
      </c>
      <c r="M113" s="34">
        <v>32.194108</v>
      </c>
      <c r="N113" s="34">
        <v>32.194108</v>
      </c>
      <c r="O113" s="34">
        <v>32.194108</v>
      </c>
      <c r="P113" s="34">
        <v>32.194108</v>
      </c>
      <c r="Q113" s="34">
        <v>32.194108</v>
      </c>
      <c r="R113" s="34">
        <v>32.194108</v>
      </c>
      <c r="S113" s="34">
        <v>32.194108</v>
      </c>
      <c r="T113" s="34">
        <v>32.194108</v>
      </c>
      <c r="U113" s="34">
        <v>32.194108</v>
      </c>
      <c r="V113" s="34">
        <v>32.194108</v>
      </c>
      <c r="W113" s="34">
        <v>32.194108</v>
      </c>
      <c r="X113" s="34">
        <v>32.194108</v>
      </c>
      <c r="Y113" s="34">
        <v>32.194108</v>
      </c>
      <c r="Z113" s="34">
        <v>32.194108</v>
      </c>
      <c r="AA113" s="34">
        <v>32.194108</v>
      </c>
      <c r="AB113" s="34">
        <v>32.194108</v>
      </c>
      <c r="AC113" s="34">
        <v>32.194108</v>
      </c>
      <c r="AD113" s="34">
        <v>32.194108</v>
      </c>
    </row>
    <row r="114" spans="3:30" ht="5.0999999999999996" customHeight="1" x14ac:dyDescent="0.2">
      <c r="D114" s="1"/>
      <c r="E114" s="1"/>
      <c r="F114" s="1"/>
      <c r="G114" s="1"/>
      <c r="H114" s="1"/>
      <c r="I114" s="1"/>
      <c r="J114" s="1"/>
      <c r="K114" s="1"/>
      <c r="L114" s="1"/>
      <c r="M114" s="1"/>
      <c r="N114" s="1"/>
      <c r="O114" s="1"/>
      <c r="P114" s="1"/>
      <c r="Q114" s="1"/>
      <c r="R114" s="1"/>
    </row>
    <row r="115" spans="3:30" x14ac:dyDescent="0.2">
      <c r="C115" s="42" t="s">
        <v>172</v>
      </c>
      <c r="D115" s="37">
        <f>+D93+D94+D102+D104</f>
        <v>745.88251799999989</v>
      </c>
      <c r="E115" s="37">
        <f t="shared" ref="E115:AD115" si="55">+E93+E94+E102+E104</f>
        <v>834.91761900000017</v>
      </c>
      <c r="F115" s="37">
        <f t="shared" si="55"/>
        <v>821.54975400000001</v>
      </c>
      <c r="G115" s="37">
        <f t="shared" si="55"/>
        <v>599.59977200000014</v>
      </c>
      <c r="H115" s="37">
        <f t="shared" si="55"/>
        <v>588.79632800000002</v>
      </c>
      <c r="I115" s="37">
        <f t="shared" si="55"/>
        <v>577.71171600000002</v>
      </c>
      <c r="J115" s="37">
        <f t="shared" si="55"/>
        <v>577.71171600000002</v>
      </c>
      <c r="K115" s="37">
        <f t="shared" si="55"/>
        <v>659.7690409999999</v>
      </c>
      <c r="L115" s="37">
        <f t="shared" si="55"/>
        <v>767.09038500000008</v>
      </c>
      <c r="M115" s="37">
        <f t="shared" si="55"/>
        <v>751.79590599999995</v>
      </c>
      <c r="N115" s="37">
        <f t="shared" si="55"/>
        <v>739.059618</v>
      </c>
      <c r="O115" s="37">
        <f t="shared" si="55"/>
        <v>739.059618</v>
      </c>
      <c r="P115" s="37">
        <f t="shared" si="55"/>
        <v>727.0551220000001</v>
      </c>
      <c r="Q115" s="37">
        <f t="shared" si="55"/>
        <v>714.75116700000001</v>
      </c>
      <c r="R115" s="37">
        <f t="shared" si="55"/>
        <v>704.55005299999993</v>
      </c>
      <c r="S115" s="37">
        <f t="shared" si="55"/>
        <v>693.97535199999993</v>
      </c>
      <c r="T115" s="37">
        <f t="shared" si="55"/>
        <v>693.97535199999993</v>
      </c>
      <c r="U115" s="37">
        <f t="shared" si="55"/>
        <v>674.48814625</v>
      </c>
      <c r="V115" s="37">
        <f t="shared" si="55"/>
        <v>655.00094049999996</v>
      </c>
      <c r="W115" s="37">
        <f t="shared" si="55"/>
        <v>635.51373475000003</v>
      </c>
      <c r="X115" s="37">
        <f t="shared" si="55"/>
        <v>616.02652899999998</v>
      </c>
      <c r="Y115" s="37">
        <f t="shared" si="55"/>
        <v>616.02652899999998</v>
      </c>
      <c r="Z115" s="37">
        <f t="shared" si="55"/>
        <v>596.53932324999994</v>
      </c>
      <c r="AA115" s="37">
        <f t="shared" si="55"/>
        <v>577.05211749999989</v>
      </c>
      <c r="AB115" s="37">
        <f t="shared" si="55"/>
        <v>557.56491174999985</v>
      </c>
      <c r="AC115" s="37">
        <f t="shared" si="55"/>
        <v>538.07770599999981</v>
      </c>
      <c r="AD115" s="37">
        <f t="shared" si="55"/>
        <v>538.07770599999981</v>
      </c>
    </row>
    <row r="116" spans="3:30" x14ac:dyDescent="0.2">
      <c r="C116" s="17" t="s">
        <v>173</v>
      </c>
      <c r="D116" s="37">
        <f>+D79+D89+D90+D87</f>
        <v>18.642775</v>
      </c>
      <c r="E116" s="37">
        <f t="shared" ref="E116:AD116" si="56">+E79+E89+E90+E87</f>
        <v>38.803062000000004</v>
      </c>
      <c r="F116" s="37">
        <f t="shared" si="56"/>
        <v>38.793843000000003</v>
      </c>
      <c r="G116" s="37">
        <f t="shared" si="56"/>
        <v>36.116992000000003</v>
      </c>
      <c r="H116" s="37">
        <f t="shared" si="56"/>
        <v>29.140626000000001</v>
      </c>
      <c r="I116" s="37">
        <f t="shared" si="56"/>
        <v>46.602698000000004</v>
      </c>
      <c r="J116" s="37">
        <f t="shared" si="56"/>
        <v>46.602698000000004</v>
      </c>
      <c r="K116" s="37">
        <f t="shared" si="56"/>
        <v>40.366779000000001</v>
      </c>
      <c r="L116" s="37">
        <f t="shared" si="56"/>
        <v>75.503945999999999</v>
      </c>
      <c r="M116" s="37">
        <f t="shared" si="56"/>
        <v>75.927002000000002</v>
      </c>
      <c r="N116" s="37">
        <f t="shared" si="56"/>
        <v>88.723285000000004</v>
      </c>
      <c r="O116" s="37">
        <f t="shared" si="56"/>
        <v>88.723285000000004</v>
      </c>
      <c r="P116" s="37">
        <f t="shared" si="56"/>
        <v>118.46946800000001</v>
      </c>
      <c r="Q116" s="37">
        <f t="shared" si="56"/>
        <v>86.092552999999995</v>
      </c>
      <c r="R116" s="37">
        <f t="shared" si="56"/>
        <v>82.070314999999994</v>
      </c>
      <c r="S116" s="37">
        <f t="shared" si="56"/>
        <v>54.887242999999998</v>
      </c>
      <c r="T116" s="37">
        <f t="shared" si="56"/>
        <v>54.887242999999998</v>
      </c>
      <c r="U116" s="37">
        <f t="shared" si="56"/>
        <v>54.887573000000231</v>
      </c>
      <c r="V116" s="37">
        <f t="shared" si="56"/>
        <v>54.887573000000231</v>
      </c>
      <c r="W116" s="37">
        <f t="shared" si="56"/>
        <v>54.887573000000231</v>
      </c>
      <c r="X116" s="37">
        <f t="shared" si="56"/>
        <v>54.887573000000231</v>
      </c>
      <c r="Y116" s="37">
        <f t="shared" si="56"/>
        <v>54.887573000000231</v>
      </c>
      <c r="Z116" s="37">
        <f t="shared" si="56"/>
        <v>54.887573000000231</v>
      </c>
      <c r="AA116" s="37">
        <f t="shared" si="56"/>
        <v>54.887573000000231</v>
      </c>
      <c r="AB116" s="37">
        <f t="shared" si="56"/>
        <v>54.887573000000231</v>
      </c>
      <c r="AC116" s="37">
        <f t="shared" si="56"/>
        <v>54.887573000000231</v>
      </c>
      <c r="AD116" s="37">
        <f t="shared" si="56"/>
        <v>54.887573000000231</v>
      </c>
    </row>
    <row r="117" spans="3:30" x14ac:dyDescent="0.2">
      <c r="C117" s="17" t="s">
        <v>174</v>
      </c>
      <c r="D117" s="37">
        <f>+D115-D116</f>
        <v>727.23974299999986</v>
      </c>
      <c r="E117" s="37">
        <f t="shared" ref="E117:R117" si="57">+E115-E116</f>
        <v>796.11455700000022</v>
      </c>
      <c r="F117" s="37">
        <f t="shared" si="57"/>
        <v>782.75591099999997</v>
      </c>
      <c r="G117" s="37">
        <f t="shared" si="57"/>
        <v>563.48278000000016</v>
      </c>
      <c r="H117" s="37">
        <f t="shared" si="57"/>
        <v>559.65570200000002</v>
      </c>
      <c r="I117" s="37">
        <f t="shared" si="57"/>
        <v>531.10901799999999</v>
      </c>
      <c r="J117" s="37">
        <f t="shared" si="57"/>
        <v>531.10901799999999</v>
      </c>
      <c r="K117" s="37">
        <f t="shared" si="57"/>
        <v>619.40226199999995</v>
      </c>
      <c r="L117" s="37">
        <f t="shared" si="57"/>
        <v>691.58643900000004</v>
      </c>
      <c r="M117" s="37">
        <f t="shared" si="57"/>
        <v>675.86890399999993</v>
      </c>
      <c r="N117" s="37">
        <f t="shared" si="57"/>
        <v>650.33633299999997</v>
      </c>
      <c r="O117" s="37">
        <f t="shared" si="57"/>
        <v>650.33633299999997</v>
      </c>
      <c r="P117" s="37">
        <f t="shared" si="57"/>
        <v>608.58565400000009</v>
      </c>
      <c r="Q117" s="37">
        <f t="shared" si="57"/>
        <v>628.65861400000006</v>
      </c>
      <c r="R117" s="37">
        <f t="shared" si="57"/>
        <v>622.479738</v>
      </c>
      <c r="S117" s="37">
        <f t="shared" ref="S117:AD117" si="58">+S115-S116</f>
        <v>639.08810899999992</v>
      </c>
      <c r="T117" s="37">
        <f t="shared" si="58"/>
        <v>639.08810899999992</v>
      </c>
      <c r="U117" s="37">
        <f t="shared" si="58"/>
        <v>619.6005732499998</v>
      </c>
      <c r="V117" s="37">
        <f t="shared" si="58"/>
        <v>600.11336749999975</v>
      </c>
      <c r="W117" s="37">
        <f t="shared" si="58"/>
        <v>580.62616174999982</v>
      </c>
      <c r="X117" s="37">
        <f t="shared" si="58"/>
        <v>561.13895599999978</v>
      </c>
      <c r="Y117" s="37">
        <f t="shared" si="58"/>
        <v>561.13895599999978</v>
      </c>
      <c r="Z117" s="37">
        <f t="shared" si="58"/>
        <v>541.65175024999974</v>
      </c>
      <c r="AA117" s="37">
        <f t="shared" si="58"/>
        <v>522.16454449999969</v>
      </c>
      <c r="AB117" s="37">
        <f t="shared" si="58"/>
        <v>502.67733874999965</v>
      </c>
      <c r="AC117" s="37">
        <f t="shared" si="58"/>
        <v>483.19013299999961</v>
      </c>
      <c r="AD117" s="37">
        <f t="shared" si="58"/>
        <v>483.19013299999961</v>
      </c>
    </row>
    <row r="118" spans="3:30" x14ac:dyDescent="0.2">
      <c r="C118" s="17" t="s">
        <v>281</v>
      </c>
      <c r="D118" s="37">
        <f>+D83+D84+D85+D86-D99-D100-D101</f>
        <v>3.8826780000000003</v>
      </c>
      <c r="E118" s="37">
        <f t="shared" ref="E118:AD118" si="59">+E83+E84+E85+E86-E99-E100-E101</f>
        <v>-4.946908999999998</v>
      </c>
      <c r="F118" s="37">
        <f t="shared" si="59"/>
        <v>-4.5132060000000038</v>
      </c>
      <c r="G118" s="37">
        <f t="shared" si="59"/>
        <v>1.7590339999999998</v>
      </c>
      <c r="H118" s="37">
        <f t="shared" si="59"/>
        <v>-4.2456629999999986</v>
      </c>
      <c r="I118" s="37">
        <f t="shared" si="59"/>
        <v>2.7884530000000001</v>
      </c>
      <c r="J118" s="37">
        <f t="shared" si="59"/>
        <v>2.7884530000000001</v>
      </c>
      <c r="K118" s="37">
        <f t="shared" si="59"/>
        <v>10.903890999999998</v>
      </c>
      <c r="L118" s="37">
        <f t="shared" si="59"/>
        <v>13.284561999999996</v>
      </c>
      <c r="M118" s="37">
        <f t="shared" si="59"/>
        <v>24.34799300000001</v>
      </c>
      <c r="N118" s="37">
        <f t="shared" si="59"/>
        <v>47.942098000000009</v>
      </c>
      <c r="O118" s="37">
        <f t="shared" si="59"/>
        <v>47.942098000000009</v>
      </c>
      <c r="P118" s="37">
        <f t="shared" si="59"/>
        <v>26.979041999999996</v>
      </c>
      <c r="Q118" s="37">
        <f t="shared" si="59"/>
        <v>58.877302999999998</v>
      </c>
      <c r="R118" s="37">
        <f t="shared" si="59"/>
        <v>32.186734000000008</v>
      </c>
      <c r="S118" s="37">
        <f t="shared" si="59"/>
        <v>58.835452000000004</v>
      </c>
      <c r="T118" s="37">
        <f t="shared" si="59"/>
        <v>58.835452000000004</v>
      </c>
      <c r="U118" s="37">
        <f t="shared" si="59"/>
        <v>58.835452000000004</v>
      </c>
      <c r="V118" s="37">
        <f t="shared" si="59"/>
        <v>58.835452000000004</v>
      </c>
      <c r="W118" s="37">
        <f t="shared" si="59"/>
        <v>58.835452000000004</v>
      </c>
      <c r="X118" s="37">
        <f t="shared" si="59"/>
        <v>58.835452000000004</v>
      </c>
      <c r="Y118" s="37">
        <f t="shared" si="59"/>
        <v>58.835452000000004</v>
      </c>
      <c r="Z118" s="37">
        <f t="shared" si="59"/>
        <v>58.835452000000004</v>
      </c>
      <c r="AA118" s="37">
        <f t="shared" si="59"/>
        <v>58.835452000000004</v>
      </c>
      <c r="AB118" s="37">
        <f t="shared" si="59"/>
        <v>58.835452000000004</v>
      </c>
      <c r="AC118" s="37">
        <f t="shared" si="59"/>
        <v>58.835452000000004</v>
      </c>
      <c r="AD118" s="37">
        <f t="shared" si="59"/>
        <v>58.835452000000004</v>
      </c>
    </row>
    <row r="119" spans="3:30" ht="5.0999999999999996" customHeight="1" x14ac:dyDescent="0.2">
      <c r="D119" s="17"/>
      <c r="E119" s="17"/>
      <c r="F119" s="17"/>
      <c r="G119" s="17"/>
      <c r="H119" s="17"/>
      <c r="I119" s="17"/>
      <c r="J119" s="17"/>
      <c r="K119" s="17"/>
      <c r="L119" s="17"/>
      <c r="M119" s="17"/>
      <c r="N119" s="17"/>
      <c r="O119" s="17"/>
      <c r="P119" s="17"/>
      <c r="Q119" s="17"/>
      <c r="R119" s="17"/>
    </row>
    <row r="120" spans="3:30" x14ac:dyDescent="0.2">
      <c r="C120" s="17" t="s">
        <v>175</v>
      </c>
      <c r="D120" s="61">
        <f>-(D20+D22)/D117</f>
        <v>4.6587717910240786E-2</v>
      </c>
      <c r="E120" s="61">
        <f>-(E20+E22)/E117</f>
        <v>4.7228434236506481E-2</v>
      </c>
      <c r="F120" s="61">
        <f>-(F20+F22)/F117</f>
        <v>1.0176407342390545E-2</v>
      </c>
      <c r="G120" s="61">
        <f>-(G20+G22)/AVERAGE(F117:G117)</f>
        <v>1.1634810457248995E-2</v>
      </c>
      <c r="H120" s="61">
        <f>-(H20+H22)/AVERAGE(G117:H117)</f>
        <v>1.3150210981730031E-2</v>
      </c>
      <c r="I120" s="61">
        <f>-(I20+I22)/AVERAGE(H117:I117)</f>
        <v>2.4349779116434933E-2</v>
      </c>
      <c r="J120" s="61">
        <f>-(J20+J22)/AVERAGE(F117:I117)</f>
        <v>5.9847192392788982E-2</v>
      </c>
      <c r="K120" s="61">
        <f>-(K20+K22)/AVERAGE(K117,I117)</f>
        <v>1.0323043508100156E-2</v>
      </c>
      <c r="L120" s="61">
        <f>-(L20+L22)/AVERAGE(K117:L117)</f>
        <v>1.356172023941799E-2</v>
      </c>
      <c r="M120" s="61">
        <f>-(M20+M22)/AVERAGE(L117:M117)</f>
        <v>1.4303569107484924E-2</v>
      </c>
      <c r="N120" s="61">
        <f>-(N20+N22)/AVERAGE(M117:N117)</f>
        <v>1.923183628628666E-2</v>
      </c>
      <c r="O120" s="61">
        <f>-(O20+O22)/AVERAGE(K117:N117)</f>
        <v>5.6666969329276534E-2</v>
      </c>
      <c r="P120" s="61">
        <f>-(P20+P22)/AVERAGE(P117,N117)</f>
        <v>2.1647253985087479E-2</v>
      </c>
      <c r="Q120" s="61">
        <f>-(Q20+Q22)/AVERAGE(P117:Q117)</f>
        <v>2.3648508832695595E-2</v>
      </c>
      <c r="R120" s="61">
        <f>-(R20+R22)/AVERAGE(Q117:R117)</f>
        <v>2.3386949935014063E-2</v>
      </c>
      <c r="S120" s="61">
        <f>-(S20+S22)/AVERAGE(R117:S117)</f>
        <v>2.249384214054086E-2</v>
      </c>
      <c r="T120" s="61">
        <f>-(T20+T22)/AVERAGE(P117:S117)</f>
        <v>9.136261451173569E-2</v>
      </c>
      <c r="U120" s="132">
        <f>+$S$120</f>
        <v>2.249384214054086E-2</v>
      </c>
      <c r="V120" s="132">
        <f>+$S$120</f>
        <v>2.249384214054086E-2</v>
      </c>
      <c r="W120" s="132">
        <f>+$S$120</f>
        <v>2.249384214054086E-2</v>
      </c>
      <c r="X120" s="132">
        <f>+$S$120</f>
        <v>2.249384214054086E-2</v>
      </c>
      <c r="Y120" s="132">
        <f>+T120</f>
        <v>9.136261451173569E-2</v>
      </c>
      <c r="Z120" s="132">
        <f>+$S$120</f>
        <v>2.249384214054086E-2</v>
      </c>
      <c r="AA120" s="132">
        <f>+$S$120</f>
        <v>2.249384214054086E-2</v>
      </c>
      <c r="AB120" s="132">
        <f>+$S$120</f>
        <v>2.249384214054086E-2</v>
      </c>
      <c r="AC120" s="132">
        <f>+$S$120</f>
        <v>2.249384214054086E-2</v>
      </c>
      <c r="AD120" s="132">
        <f>+Y120</f>
        <v>9.136261451173569E-2</v>
      </c>
    </row>
    <row r="121" spans="3:30" x14ac:dyDescent="0.2">
      <c r="C121" s="17" t="s">
        <v>176</v>
      </c>
      <c r="D121" s="37">
        <f>+D75/-D18</f>
        <v>40.998787680103085</v>
      </c>
      <c r="E121" s="37">
        <f>+D75/-E18</f>
        <v>24.219164072078375</v>
      </c>
      <c r="F121" s="37">
        <f>+(E75/(-F18*4))</f>
        <v>26.797544715272767</v>
      </c>
      <c r="G121" s="37">
        <f>+(F75/(-G18*4))</f>
        <v>27.44124984641763</v>
      </c>
      <c r="H121" s="37">
        <f>+(G75/(-H18*4))</f>
        <v>26.552071244191179</v>
      </c>
      <c r="I121" s="37">
        <f>+(H75/(-I18*4))</f>
        <v>26.051340446252464</v>
      </c>
      <c r="J121" s="37">
        <f>AVERAGE(F121:I121)</f>
        <v>26.710551563033512</v>
      </c>
      <c r="K121" s="37">
        <f>+(J75/(-K18*4))</f>
        <v>26.257953181418241</v>
      </c>
      <c r="L121" s="37">
        <f>+(K75/(-L18*4))</f>
        <v>23.835824197643561</v>
      </c>
      <c r="M121" s="37">
        <f>+(L75/(-M18*4))</f>
        <v>27.346740220499047</v>
      </c>
      <c r="N121" s="37">
        <f>+(M75/(-N18*4))</f>
        <v>25.437582177022843</v>
      </c>
      <c r="O121" s="37">
        <f>AVERAGE(K121:N121)</f>
        <v>25.719524944145924</v>
      </c>
      <c r="P121" s="37">
        <f>+(O75/(-P18*4))</f>
        <v>25.643720075743278</v>
      </c>
      <c r="Q121" s="37">
        <f>+(P75/(-Q18*4))</f>
        <v>25.178493630353813</v>
      </c>
      <c r="R121" s="37">
        <f>+(Q75/(-R18*4))</f>
        <v>24.99557777197419</v>
      </c>
      <c r="S121" s="37">
        <f>+(R75/(-S18*4))</f>
        <v>24.253302912845253</v>
      </c>
      <c r="T121" s="37">
        <f>AVERAGE(P121:S121)</f>
        <v>25.017773597729136</v>
      </c>
    </row>
    <row r="122" spans="3:30" x14ac:dyDescent="0.2">
      <c r="D122" s="17"/>
      <c r="E122" s="17"/>
      <c r="F122" s="17"/>
      <c r="G122" s="17"/>
      <c r="H122" s="17"/>
      <c r="I122" s="17"/>
      <c r="J122" s="17"/>
      <c r="K122" s="17"/>
      <c r="L122" s="17"/>
      <c r="M122" s="17"/>
      <c r="N122" s="17"/>
      <c r="O122" s="17"/>
      <c r="P122" s="17"/>
      <c r="Q122" s="17"/>
      <c r="R122" s="17"/>
    </row>
    <row r="123" spans="3:30" x14ac:dyDescent="0.2">
      <c r="C123" s="30" t="s">
        <v>751</v>
      </c>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row>
    <row r="124" spans="3:30" x14ac:dyDescent="0.2">
      <c r="C124" s="49" t="s">
        <v>192</v>
      </c>
      <c r="D124" s="50" t="s">
        <v>193</v>
      </c>
      <c r="E124" s="51" t="s">
        <v>198</v>
      </c>
      <c r="F124" s="51" t="s">
        <v>197</v>
      </c>
      <c r="G124" s="52" t="s">
        <v>200</v>
      </c>
      <c r="H124" s="53" t="s">
        <v>194</v>
      </c>
      <c r="I124" s="53" t="s">
        <v>195</v>
      </c>
      <c r="J124" s="52" t="s">
        <v>757</v>
      </c>
      <c r="K124" s="52" t="s">
        <v>759</v>
      </c>
      <c r="L124" s="53" t="s">
        <v>195</v>
      </c>
      <c r="M124" s="52" t="s">
        <v>758</v>
      </c>
      <c r="N124" s="52" t="s">
        <v>760</v>
      </c>
      <c r="O124" s="1"/>
      <c r="P124" s="1"/>
      <c r="Q124" s="1"/>
      <c r="R124" s="1"/>
    </row>
    <row r="125" spans="3:30" x14ac:dyDescent="0.2">
      <c r="C125" s="17" t="s">
        <v>184</v>
      </c>
      <c r="D125" s="2" t="s">
        <v>11</v>
      </c>
      <c r="E125" s="34">
        <v>1</v>
      </c>
      <c r="F125" s="34">
        <v>1</v>
      </c>
      <c r="G125" s="1">
        <v>318953</v>
      </c>
      <c r="H125" s="54">
        <v>43586</v>
      </c>
      <c r="I125" s="54">
        <f ca="1">+TODAY()</f>
        <v>45460</v>
      </c>
      <c r="J125" s="56">
        <f ca="1">+(I125-H125)/365</f>
        <v>5.1342465753424653</v>
      </c>
      <c r="K125" s="1">
        <f ca="1">+J125*'Vessel Valuations'!$F$43^3+J125*'Vessel Valuations'!$G$43^2+J125*'Vessel Valuations'!$H$43+'Vessel Valuations'!$I$43</f>
        <v>101.79331029320377</v>
      </c>
      <c r="L125" s="133">
        <v>45657</v>
      </c>
      <c r="M125" s="56">
        <f>+(L125-H125)/365</f>
        <v>5.6739726027397257</v>
      </c>
      <c r="N125" s="1">
        <f>+M125*'Vessel Valuations'!$F$43^3+M125*'Vessel Valuations'!$G$43^2+M125*'Vessel Valuations'!$H$43+'Vessel Valuations'!$I$43</f>
        <v>97.261449736412061</v>
      </c>
      <c r="O125" s="1"/>
      <c r="P125" s="1"/>
      <c r="Q125" s="1"/>
      <c r="R125" s="1"/>
    </row>
    <row r="126" spans="3:30" x14ac:dyDescent="0.2">
      <c r="C126" s="17" t="s">
        <v>185</v>
      </c>
      <c r="D126" s="2" t="s">
        <v>11</v>
      </c>
      <c r="E126" s="34">
        <v>1</v>
      </c>
      <c r="F126" s="34">
        <v>1</v>
      </c>
      <c r="G126" s="1">
        <v>318953</v>
      </c>
      <c r="H126" s="55">
        <v>43617</v>
      </c>
      <c r="I126" s="55">
        <f t="shared" ref="I126:I138" ca="1" si="60">+TODAY()</f>
        <v>45460</v>
      </c>
      <c r="J126" s="56">
        <f t="shared" ref="J126:J138" ca="1" si="61">+(I126-H126)/365</f>
        <v>5.0493150684931507</v>
      </c>
      <c r="K126" s="1">
        <f ca="1">+J126*'Vessel Valuations'!$F$43^3+J126*'Vessel Valuations'!$G$43^2+J126*'Vessel Valuations'!$H$43+'Vessel Valuations'!$I$43</f>
        <v>102.50644571076998</v>
      </c>
      <c r="L126" s="134">
        <v>45657</v>
      </c>
      <c r="M126" s="56">
        <f t="shared" ref="M126:M138" si="62">+(L126-H126)/365</f>
        <v>5.5890410958904111</v>
      </c>
      <c r="N126" s="1">
        <f>+M126*'Vessel Valuations'!$F$43^3+M126*'Vessel Valuations'!$G$43^2+M126*'Vessel Valuations'!$H$43+'Vessel Valuations'!$I$43</f>
        <v>97.974585153978268</v>
      </c>
      <c r="O126" s="1"/>
      <c r="P126" s="1"/>
      <c r="Q126" s="1"/>
      <c r="R126" s="1"/>
    </row>
    <row r="127" spans="3:30" x14ac:dyDescent="0.2">
      <c r="C127" s="17" t="s">
        <v>186</v>
      </c>
      <c r="D127" s="2" t="s">
        <v>11</v>
      </c>
      <c r="E127" s="34">
        <v>1</v>
      </c>
      <c r="F127" s="34">
        <v>1</v>
      </c>
      <c r="G127" s="1">
        <v>318953</v>
      </c>
      <c r="H127" s="55">
        <v>43678</v>
      </c>
      <c r="I127" s="55">
        <f t="shared" ca="1" si="60"/>
        <v>45460</v>
      </c>
      <c r="J127" s="56">
        <f t="shared" ca="1" si="61"/>
        <v>4.882191780821918</v>
      </c>
      <c r="K127" s="1">
        <f ca="1">+J127*'Vessel Valuations'!$F$43^3+J127*'Vessel Valuations'!$G$43^2+J127*'Vessel Valuations'!$H$43+'Vessel Valuations'!$I$43</f>
        <v>103.9097121775938</v>
      </c>
      <c r="L127" s="134">
        <v>45657</v>
      </c>
      <c r="M127" s="56">
        <f t="shared" si="62"/>
        <v>5.4219178082191783</v>
      </c>
      <c r="N127" s="1">
        <f>+M127*'Vessel Valuations'!$F$43^3+M127*'Vessel Valuations'!$G$43^2+M127*'Vessel Valuations'!$H$43+'Vessel Valuations'!$I$43</f>
        <v>99.37785162080209</v>
      </c>
      <c r="O127" s="1"/>
      <c r="P127" s="1"/>
      <c r="Q127" s="1"/>
      <c r="R127" s="1"/>
    </row>
    <row r="128" spans="3:30" x14ac:dyDescent="0.2">
      <c r="C128" s="17" t="s">
        <v>187</v>
      </c>
      <c r="D128" s="2" t="s">
        <v>11</v>
      </c>
      <c r="E128" s="34">
        <v>1</v>
      </c>
      <c r="F128" s="34">
        <v>1</v>
      </c>
      <c r="G128" s="1">
        <v>318953</v>
      </c>
      <c r="H128" s="55">
        <v>43709</v>
      </c>
      <c r="I128" s="55">
        <f t="shared" ca="1" si="60"/>
        <v>45460</v>
      </c>
      <c r="J128" s="56">
        <f t="shared" ca="1" si="61"/>
        <v>4.7972602739726025</v>
      </c>
      <c r="K128" s="1">
        <f ca="1">+J128*'Vessel Valuations'!$F$43^3+J128*'Vessel Valuations'!$G$43^2+J128*'Vessel Valuations'!$H$43+'Vessel Valuations'!$I$43</f>
        <v>104.62284759516001</v>
      </c>
      <c r="L128" s="134">
        <v>45657</v>
      </c>
      <c r="M128" s="56">
        <f t="shared" si="62"/>
        <v>5.3369863013698629</v>
      </c>
      <c r="N128" s="1">
        <f>+M128*'Vessel Valuations'!$F$43^3+M128*'Vessel Valuations'!$G$43^2+M128*'Vessel Valuations'!$H$43+'Vessel Valuations'!$I$43</f>
        <v>100.0909870383683</v>
      </c>
      <c r="O128" s="1"/>
      <c r="P128" s="1"/>
      <c r="Q128" s="1"/>
      <c r="R128" s="1"/>
    </row>
    <row r="129" spans="3:18" x14ac:dyDescent="0.2">
      <c r="C129" s="17" t="s">
        <v>188</v>
      </c>
      <c r="D129" s="2" t="s">
        <v>11</v>
      </c>
      <c r="E129" s="34">
        <v>1</v>
      </c>
      <c r="F129" s="34">
        <v>1</v>
      </c>
      <c r="G129" s="1">
        <v>318953</v>
      </c>
      <c r="H129" s="55">
        <v>43739</v>
      </c>
      <c r="I129" s="55">
        <f t="shared" ca="1" si="60"/>
        <v>45460</v>
      </c>
      <c r="J129" s="56">
        <f t="shared" ca="1" si="61"/>
        <v>4.7150684931506852</v>
      </c>
      <c r="K129" s="1">
        <f ca="1">+J129*'Vessel Valuations'!$F$43^3+J129*'Vessel Valuations'!$G$43^2+J129*'Vessel Valuations'!$H$43+'Vessel Valuations'!$I$43</f>
        <v>105.31297864441763</v>
      </c>
      <c r="L129" s="134">
        <v>45657</v>
      </c>
      <c r="M129" s="56">
        <f t="shared" si="62"/>
        <v>5.2547945205479456</v>
      </c>
      <c r="N129" s="1">
        <f>+M129*'Vessel Valuations'!$F$43^3+M129*'Vessel Valuations'!$G$43^2+M129*'Vessel Valuations'!$H$43+'Vessel Valuations'!$I$43</f>
        <v>100.78111808762591</v>
      </c>
      <c r="O129" s="1"/>
      <c r="P129" s="1"/>
      <c r="Q129" s="1"/>
      <c r="R129" s="1"/>
    </row>
    <row r="130" spans="3:18" x14ac:dyDescent="0.2">
      <c r="C130" s="17" t="s">
        <v>189</v>
      </c>
      <c r="D130" s="2" t="s">
        <v>11</v>
      </c>
      <c r="E130" s="34">
        <v>1</v>
      </c>
      <c r="F130" s="34">
        <v>1</v>
      </c>
      <c r="G130" s="1">
        <v>318953</v>
      </c>
      <c r="H130" s="55">
        <v>43831</v>
      </c>
      <c r="I130" s="55">
        <f t="shared" ca="1" si="60"/>
        <v>45460</v>
      </c>
      <c r="J130" s="56">
        <f t="shared" ca="1" si="61"/>
        <v>4.463013698630137</v>
      </c>
      <c r="K130" s="1">
        <f ca="1">+J130*'Vessel Valuations'!$F$43^3+J130*'Vessel Valuations'!$G$43^2+J130*'Vessel Valuations'!$H$43+'Vessel Valuations'!$I$43</f>
        <v>107.42938052880767</v>
      </c>
      <c r="L130" s="134">
        <v>45657</v>
      </c>
      <c r="M130" s="56">
        <f t="shared" si="62"/>
        <v>5.0027397260273974</v>
      </c>
      <c r="N130" s="1">
        <f>+M130*'Vessel Valuations'!$F$43^3+M130*'Vessel Valuations'!$G$43^2+M130*'Vessel Valuations'!$H$43+'Vessel Valuations'!$I$43</f>
        <v>102.89751997201597</v>
      </c>
      <c r="O130" s="1"/>
      <c r="P130" s="1"/>
      <c r="Q130" s="1"/>
      <c r="R130" s="1"/>
    </row>
    <row r="131" spans="3:18" x14ac:dyDescent="0.2">
      <c r="C131" s="17" t="s">
        <v>190</v>
      </c>
      <c r="D131" s="2" t="s">
        <v>11</v>
      </c>
      <c r="E131" s="34">
        <v>1</v>
      </c>
      <c r="F131" s="34">
        <v>1</v>
      </c>
      <c r="G131" s="1">
        <v>299988</v>
      </c>
      <c r="H131" s="55">
        <v>44621</v>
      </c>
      <c r="I131" s="55">
        <f t="shared" ca="1" si="60"/>
        <v>45460</v>
      </c>
      <c r="J131" s="56">
        <f t="shared" ca="1" si="61"/>
        <v>2.2986301369863016</v>
      </c>
      <c r="K131" s="1">
        <f ca="1">+J131*'Vessel Valuations'!$F$43^3+J131*'Vessel Valuations'!$G$43^2+J131*'Vessel Valuations'!$H$43+'Vessel Valuations'!$I$43</f>
        <v>125.60283149259169</v>
      </c>
      <c r="L131" s="134">
        <v>45657</v>
      </c>
      <c r="M131" s="56">
        <f t="shared" si="62"/>
        <v>2.8383561643835615</v>
      </c>
      <c r="N131" s="1">
        <f>+M131*'Vessel Valuations'!$F$43^3+M131*'Vessel Valuations'!$G$43^2+M131*'Vessel Valuations'!$H$43+'Vessel Valuations'!$I$43</f>
        <v>121.07097093579998</v>
      </c>
      <c r="O131" s="1"/>
      <c r="P131" s="1"/>
      <c r="Q131" s="1"/>
      <c r="R131" s="1"/>
    </row>
    <row r="132" spans="3:18" x14ac:dyDescent="0.2">
      <c r="C132" s="17" t="s">
        <v>191</v>
      </c>
      <c r="D132" s="2" t="s">
        <v>11</v>
      </c>
      <c r="E132" s="34">
        <v>1</v>
      </c>
      <c r="F132" s="34">
        <v>1</v>
      </c>
      <c r="G132" s="1">
        <v>299988</v>
      </c>
      <c r="H132" s="55">
        <v>44713</v>
      </c>
      <c r="I132" s="55">
        <f t="shared" ca="1" si="60"/>
        <v>45460</v>
      </c>
      <c r="J132" s="56">
        <f t="shared" ca="1" si="61"/>
        <v>2.0465753424657533</v>
      </c>
      <c r="K132" s="1">
        <f ca="1">+J132*'Vessel Valuations'!$F$43^3+J132*'Vessel Valuations'!$G$43^2+J132*'Vessel Valuations'!$H$43+'Vessel Valuations'!$I$43</f>
        <v>127.71923337698172</v>
      </c>
      <c r="L132" s="134">
        <v>45657</v>
      </c>
      <c r="M132" s="56">
        <f t="shared" si="62"/>
        <v>2.5863013698630137</v>
      </c>
      <c r="N132" s="1">
        <f>+M132*'Vessel Valuations'!$F$43^3+M132*'Vessel Valuations'!$G$43^2+M132*'Vessel Valuations'!$H$43+'Vessel Valuations'!$I$43</f>
        <v>123.18737282019001</v>
      </c>
      <c r="O132" s="1"/>
      <c r="P132" s="1"/>
      <c r="Q132" s="1"/>
      <c r="R132" s="1"/>
    </row>
    <row r="133" spans="3:18" x14ac:dyDescent="0.2">
      <c r="C133" s="17" t="s">
        <v>178</v>
      </c>
      <c r="D133" s="2" t="s">
        <v>13</v>
      </c>
      <c r="E133" s="34">
        <v>1</v>
      </c>
      <c r="F133" s="34">
        <v>1</v>
      </c>
      <c r="G133" s="1">
        <v>157525</v>
      </c>
      <c r="H133" s="55">
        <v>42644</v>
      </c>
      <c r="I133" s="55">
        <f t="shared" ca="1" si="60"/>
        <v>45460</v>
      </c>
      <c r="J133" s="56">
        <f t="shared" ca="1" si="61"/>
        <v>7.7150684931506852</v>
      </c>
      <c r="K133" s="1">
        <f ca="1">+J133*'Vessel Valuations'!$F$44^3+J133*'Vessel Valuations'!$G$44^2+J133*'Vessel Valuations'!$H$44+'Vessel Valuations'!$I$44</f>
        <v>65.645305944667513</v>
      </c>
      <c r="L133" s="134">
        <v>45657</v>
      </c>
      <c r="M133" s="56">
        <f t="shared" si="62"/>
        <v>8.2547945205479447</v>
      </c>
      <c r="N133" s="1">
        <f>+M133*'Vessel Valuations'!$F$44^3+M133*'Vessel Valuations'!$G$44^2+M133*'Vessel Valuations'!$H$44+'Vessel Valuations'!$I$44</f>
        <v>63.140772195877446</v>
      </c>
      <c r="O133" s="1"/>
      <c r="P133" s="1"/>
      <c r="Q133" s="1"/>
      <c r="R133" s="1"/>
    </row>
    <row r="134" spans="3:18" x14ac:dyDescent="0.2">
      <c r="C134" s="17" t="s">
        <v>179</v>
      </c>
      <c r="D134" s="2" t="s">
        <v>13</v>
      </c>
      <c r="E134" s="34">
        <v>1</v>
      </c>
      <c r="F134" s="34">
        <v>1</v>
      </c>
      <c r="G134" s="1">
        <v>157525</v>
      </c>
      <c r="H134" s="55">
        <v>42736</v>
      </c>
      <c r="I134" s="55">
        <f t="shared" ca="1" si="60"/>
        <v>45460</v>
      </c>
      <c r="J134" s="56">
        <f t="shared" ca="1" si="61"/>
        <v>7.463013698630137</v>
      </c>
      <c r="K134" s="1">
        <f ca="1">+J134*'Vessel Valuations'!$F$44^3+J134*'Vessel Valuations'!$G$44^2+J134*'Vessel Valuations'!$H$44+'Vessel Valuations'!$I$44</f>
        <v>66.814935918721744</v>
      </c>
      <c r="L134" s="134">
        <v>45657</v>
      </c>
      <c r="M134" s="56">
        <f t="shared" si="62"/>
        <v>8.0027397260273965</v>
      </c>
      <c r="N134" s="1">
        <f>+M134*'Vessel Valuations'!$F$44^3+M134*'Vessel Valuations'!$G$44^2+M134*'Vessel Valuations'!$H$44+'Vessel Valuations'!$I$44</f>
        <v>64.310402169931692</v>
      </c>
      <c r="O134" s="1"/>
      <c r="P134" s="1"/>
      <c r="Q134" s="1"/>
      <c r="R134" s="1"/>
    </row>
    <row r="135" spans="3:18" x14ac:dyDescent="0.2">
      <c r="C135" s="17" t="s">
        <v>180</v>
      </c>
      <c r="D135" s="2" t="s">
        <v>13</v>
      </c>
      <c r="E135" s="34">
        <v>1</v>
      </c>
      <c r="F135" s="34">
        <v>1</v>
      </c>
      <c r="G135" s="1">
        <v>159159</v>
      </c>
      <c r="H135" s="55">
        <v>43221</v>
      </c>
      <c r="I135" s="55">
        <f t="shared" ca="1" si="60"/>
        <v>45460</v>
      </c>
      <c r="J135" s="56">
        <f t="shared" ca="1" si="61"/>
        <v>6.1342465753424653</v>
      </c>
      <c r="K135" s="1">
        <f ca="1">+J135*'Vessel Valuations'!$F$44^3+J135*'Vessel Valuations'!$G$44^2+J135*'Vessel Valuations'!$H$44+'Vessel Valuations'!$I$44</f>
        <v>72.980920021072905</v>
      </c>
      <c r="L135" s="134">
        <v>45657</v>
      </c>
      <c r="M135" s="56">
        <f t="shared" si="62"/>
        <v>6.6739726027397257</v>
      </c>
      <c r="N135" s="1">
        <f>+M135*'Vessel Valuations'!$F$44^3+M135*'Vessel Valuations'!$G$44^2+M135*'Vessel Valuations'!$H$44+'Vessel Valuations'!$I$44</f>
        <v>70.476386272282852</v>
      </c>
      <c r="O135" s="1"/>
      <c r="P135" s="1"/>
      <c r="Q135" s="1"/>
      <c r="R135" s="1"/>
    </row>
    <row r="136" spans="3:18" x14ac:dyDescent="0.2">
      <c r="C136" s="17" t="s">
        <v>181</v>
      </c>
      <c r="D136" s="2" t="s">
        <v>13</v>
      </c>
      <c r="E136" s="34">
        <v>1</v>
      </c>
      <c r="F136" s="34">
        <v>1</v>
      </c>
      <c r="G136" s="1">
        <v>159159</v>
      </c>
      <c r="H136" s="55">
        <v>43344</v>
      </c>
      <c r="I136" s="55">
        <f t="shared" ca="1" si="60"/>
        <v>45460</v>
      </c>
      <c r="J136" s="56">
        <f t="shared" ca="1" si="61"/>
        <v>5.7972602739726025</v>
      </c>
      <c r="K136" s="1">
        <f ca="1">+J136*'Vessel Valuations'!$F$44^3+J136*'Vessel Valuations'!$G$44^2+J136*'Vessel Valuations'!$H$44+'Vessel Valuations'!$I$44</f>
        <v>74.544664442906296</v>
      </c>
      <c r="L136" s="134">
        <v>45657</v>
      </c>
      <c r="M136" s="56">
        <f t="shared" si="62"/>
        <v>6.3369863013698629</v>
      </c>
      <c r="N136" s="1">
        <f>+M136*'Vessel Valuations'!$F$44^3+M136*'Vessel Valuations'!$G$44^2+M136*'Vessel Valuations'!$H$44+'Vessel Valuations'!$I$44</f>
        <v>72.040130694116229</v>
      </c>
      <c r="O136" s="1"/>
      <c r="P136" s="1"/>
      <c r="Q136" s="1"/>
      <c r="R136" s="1"/>
    </row>
    <row r="137" spans="3:18" x14ac:dyDescent="0.2">
      <c r="C137" s="17" t="s">
        <v>182</v>
      </c>
      <c r="D137" s="2" t="s">
        <v>13</v>
      </c>
      <c r="E137" s="34">
        <v>1</v>
      </c>
      <c r="F137" s="34">
        <v>1</v>
      </c>
      <c r="G137" s="1">
        <v>157525</v>
      </c>
      <c r="H137" s="55">
        <v>44075</v>
      </c>
      <c r="I137" s="55">
        <f t="shared" ca="1" si="60"/>
        <v>45460</v>
      </c>
      <c r="J137" s="56">
        <f t="shared" ca="1" si="61"/>
        <v>3.7945205479452055</v>
      </c>
      <c r="K137" s="1">
        <f ca="1">+J137*'Vessel Valuations'!$F$44^3+J137*'Vessel Valuations'!$G$44^2+J137*'Vessel Valuations'!$H$44+'Vessel Valuations'!$I$44</f>
        <v>83.838137388924224</v>
      </c>
      <c r="L137" s="134">
        <v>45657</v>
      </c>
      <c r="M137" s="56">
        <f t="shared" si="62"/>
        <v>4.3342465753424655</v>
      </c>
      <c r="N137" s="1">
        <f>+M137*'Vessel Valuations'!$F$44^3+M137*'Vessel Valuations'!$G$44^2+M137*'Vessel Valuations'!$H$44+'Vessel Valuations'!$I$44</f>
        <v>81.333603640134172</v>
      </c>
      <c r="O137" s="1"/>
      <c r="P137" s="1"/>
      <c r="Q137" s="1"/>
      <c r="R137" s="1"/>
    </row>
    <row r="138" spans="3:18" x14ac:dyDescent="0.2">
      <c r="C138" s="17" t="s">
        <v>183</v>
      </c>
      <c r="D138" s="2" t="s">
        <v>13</v>
      </c>
      <c r="E138" s="34">
        <v>1</v>
      </c>
      <c r="F138" s="34">
        <v>1</v>
      </c>
      <c r="G138" s="1">
        <v>157525</v>
      </c>
      <c r="H138" s="55">
        <v>44075</v>
      </c>
      <c r="I138" s="55">
        <f t="shared" ca="1" si="60"/>
        <v>45460</v>
      </c>
      <c r="J138" s="56">
        <f t="shared" ca="1" si="61"/>
        <v>3.7945205479452055</v>
      </c>
      <c r="K138" s="1">
        <f ca="1">+J138*'Vessel Valuations'!$F$44^3+J138*'Vessel Valuations'!$G$44^2+J138*'Vessel Valuations'!$H$44+'Vessel Valuations'!$I$44</f>
        <v>83.838137388924224</v>
      </c>
      <c r="L138" s="134">
        <v>45657</v>
      </c>
      <c r="M138" s="56">
        <f t="shared" si="62"/>
        <v>4.3342465753424655</v>
      </c>
      <c r="N138" s="1">
        <f>+M138*'Vessel Valuations'!$F$44^3+M138*'Vessel Valuations'!$G$44^2+M138*'Vessel Valuations'!$H$44+'Vessel Valuations'!$I$44</f>
        <v>81.333603640134172</v>
      </c>
      <c r="O138" s="1"/>
      <c r="P138" s="1"/>
      <c r="Q138" s="1"/>
      <c r="R138" s="1"/>
    </row>
    <row r="139" spans="3:18" x14ac:dyDescent="0.2">
      <c r="D139" s="17"/>
      <c r="E139" s="17"/>
      <c r="F139" s="17"/>
      <c r="G139" s="1"/>
      <c r="H139" s="1"/>
      <c r="I139" s="1"/>
      <c r="J139" s="1"/>
      <c r="K139" s="1"/>
      <c r="L139" s="1"/>
      <c r="M139" s="1"/>
      <c r="N139" s="1"/>
      <c r="O139" s="1"/>
      <c r="P139" s="1"/>
      <c r="Q139" s="1"/>
      <c r="R139" s="1"/>
    </row>
    <row r="140" spans="3:18" x14ac:dyDescent="0.2">
      <c r="C140" s="49" t="s">
        <v>704</v>
      </c>
      <c r="D140" s="52" t="s">
        <v>37</v>
      </c>
      <c r="E140" s="52" t="s">
        <v>52</v>
      </c>
      <c r="F140" s="17"/>
      <c r="G140" s="1"/>
      <c r="H140" s="1"/>
      <c r="I140" s="1"/>
      <c r="J140" s="1"/>
      <c r="K140" s="1"/>
      <c r="L140" s="1"/>
      <c r="M140" s="1"/>
      <c r="N140" s="1"/>
      <c r="O140" s="1"/>
      <c r="P140" s="1"/>
      <c r="Q140" s="1"/>
      <c r="R140" s="1"/>
    </row>
    <row r="141" spans="3:18" x14ac:dyDescent="0.2">
      <c r="C141" s="17" t="s">
        <v>705</v>
      </c>
      <c r="D141" s="118">
        <f ca="1">+SUM(K125:K138)</f>
        <v>1326.558840924743</v>
      </c>
      <c r="E141" s="1">
        <f>+SUM(N125:N138)</f>
        <v>1275.2767539776692</v>
      </c>
      <c r="F141" s="17"/>
      <c r="G141" s="1"/>
      <c r="H141" s="1"/>
      <c r="I141" s="1"/>
      <c r="J141" s="1"/>
      <c r="K141" s="1"/>
      <c r="L141" s="1"/>
      <c r="M141" s="1"/>
      <c r="N141" s="1"/>
      <c r="O141" s="1"/>
      <c r="P141" s="1"/>
      <c r="Q141" s="1"/>
      <c r="R141" s="1"/>
    </row>
    <row r="142" spans="3:18" x14ac:dyDescent="0.2">
      <c r="C142" s="17" t="s">
        <v>706</v>
      </c>
      <c r="D142" s="118">
        <f>+T79+T89+T90</f>
        <v>54.887242999999998</v>
      </c>
      <c r="E142" s="1">
        <f>+Y116</f>
        <v>54.887573000000231</v>
      </c>
      <c r="F142" s="17"/>
      <c r="G142" s="1"/>
      <c r="H142" s="1"/>
      <c r="I142" s="1"/>
      <c r="J142" s="1"/>
      <c r="K142" s="1"/>
      <c r="L142" s="1"/>
      <c r="M142" s="1"/>
      <c r="N142" s="1"/>
      <c r="O142" s="1"/>
      <c r="P142" s="1"/>
      <c r="Q142" s="1"/>
      <c r="R142" s="1"/>
    </row>
    <row r="143" spans="3:18" x14ac:dyDescent="0.2">
      <c r="C143" s="17" t="s">
        <v>707</v>
      </c>
      <c r="D143" s="118">
        <f>+T76</f>
        <v>0</v>
      </c>
      <c r="E143" s="1">
        <v>0</v>
      </c>
      <c r="F143" s="17"/>
      <c r="G143" s="1"/>
      <c r="H143" s="1"/>
      <c r="I143" s="1"/>
      <c r="J143" s="1"/>
      <c r="K143" s="1"/>
      <c r="L143" s="1"/>
      <c r="M143" s="1"/>
      <c r="N143" s="1"/>
      <c r="O143" s="1"/>
      <c r="P143" s="1"/>
      <c r="Q143" s="1"/>
      <c r="R143" s="1"/>
    </row>
    <row r="144" spans="3:18" x14ac:dyDescent="0.2">
      <c r="C144" s="17" t="s">
        <v>708</v>
      </c>
      <c r="D144" s="118">
        <f>+T118</f>
        <v>58.835452000000004</v>
      </c>
      <c r="E144" s="1">
        <f>+Y118</f>
        <v>58.835452000000004</v>
      </c>
      <c r="F144" s="17"/>
      <c r="G144" s="1"/>
      <c r="H144" s="1"/>
      <c r="I144" s="1"/>
      <c r="J144" s="1"/>
      <c r="K144" s="1"/>
      <c r="L144" s="1"/>
      <c r="M144" s="1"/>
      <c r="N144" s="1"/>
      <c r="O144" s="1"/>
      <c r="P144" s="1"/>
      <c r="Q144" s="1"/>
      <c r="R144" s="1"/>
    </row>
    <row r="145" spans="3:30" x14ac:dyDescent="0.2">
      <c r="C145" s="17" t="s">
        <v>709</v>
      </c>
      <c r="D145" s="118">
        <f>-T115</f>
        <v>-693.97535199999993</v>
      </c>
      <c r="E145" s="1">
        <f>-Y115</f>
        <v>-616.02652899999998</v>
      </c>
      <c r="F145" s="17"/>
      <c r="G145" s="1"/>
      <c r="H145" s="1"/>
      <c r="I145" s="1"/>
      <c r="J145" s="1"/>
      <c r="K145" s="1"/>
      <c r="L145" s="1"/>
      <c r="M145" s="1"/>
      <c r="N145" s="1"/>
      <c r="O145" s="1"/>
      <c r="P145" s="1"/>
      <c r="Q145" s="1"/>
      <c r="R145" s="1"/>
    </row>
    <row r="146" spans="3:30" x14ac:dyDescent="0.2">
      <c r="C146" s="17" t="s">
        <v>710</v>
      </c>
      <c r="D146" s="118">
        <f>+SUM(F125:F138)*2</f>
        <v>28</v>
      </c>
      <c r="E146" s="1">
        <f>+SUM(F125:F138)*2</f>
        <v>28</v>
      </c>
      <c r="F146" s="17"/>
      <c r="G146" s="1"/>
      <c r="H146" s="1"/>
      <c r="I146" s="1"/>
      <c r="J146" s="1"/>
      <c r="K146" s="1"/>
      <c r="L146" s="1"/>
      <c r="M146" s="1"/>
      <c r="N146" s="1"/>
      <c r="O146" s="1"/>
      <c r="P146" s="1"/>
      <c r="Q146" s="1"/>
      <c r="R146" s="1"/>
    </row>
    <row r="147" spans="3:30" x14ac:dyDescent="0.2">
      <c r="C147" s="17" t="s">
        <v>715</v>
      </c>
      <c r="D147" s="118">
        <v>0</v>
      </c>
      <c r="E147" s="1">
        <v>0</v>
      </c>
      <c r="F147" s="17"/>
      <c r="G147" s="1"/>
      <c r="H147" s="1"/>
      <c r="I147" s="1"/>
      <c r="J147" s="1"/>
      <c r="K147" s="1"/>
      <c r="L147" s="1"/>
      <c r="M147" s="1"/>
      <c r="N147" s="1"/>
      <c r="O147" s="1"/>
      <c r="P147" s="1"/>
      <c r="Q147" s="1"/>
      <c r="R147" s="1"/>
    </row>
    <row r="148" spans="3:30" x14ac:dyDescent="0.2">
      <c r="C148" s="17" t="s">
        <v>411</v>
      </c>
      <c r="D148" s="118"/>
      <c r="E148" s="1">
        <f>-Y64</f>
        <v>122.89422516867506</v>
      </c>
      <c r="F148" s="17"/>
      <c r="G148" s="1"/>
      <c r="H148" s="1"/>
      <c r="I148" s="1"/>
      <c r="J148" s="1"/>
      <c r="K148" s="1"/>
      <c r="L148" s="1"/>
      <c r="M148" s="1"/>
      <c r="N148" s="1"/>
      <c r="O148" s="1"/>
      <c r="P148" s="1"/>
      <c r="Q148" s="1"/>
      <c r="R148" s="1"/>
    </row>
    <row r="149" spans="3:30" x14ac:dyDescent="0.2">
      <c r="C149" s="119" t="s">
        <v>711</v>
      </c>
      <c r="D149" s="120">
        <f ca="1">+SUM(D141:D148)</f>
        <v>774.30618392474298</v>
      </c>
      <c r="E149" s="120">
        <f>+SUM(E141:E148)</f>
        <v>923.86747514634453</v>
      </c>
      <c r="F149" s="17"/>
      <c r="G149" s="1"/>
      <c r="H149" s="1"/>
      <c r="I149" s="1"/>
      <c r="J149" s="1"/>
      <c r="K149" s="1"/>
      <c r="L149" s="1"/>
      <c r="M149" s="1"/>
      <c r="N149" s="1"/>
      <c r="O149" s="1"/>
      <c r="P149" s="1"/>
      <c r="Q149" s="1"/>
      <c r="R149" s="1"/>
    </row>
    <row r="150" spans="3:30" x14ac:dyDescent="0.2">
      <c r="D150" s="21"/>
      <c r="E150" s="17"/>
      <c r="F150" s="17"/>
      <c r="G150" s="1"/>
      <c r="H150" s="1"/>
      <c r="I150" s="1"/>
      <c r="J150" s="1"/>
      <c r="K150" s="1"/>
      <c r="L150" s="1"/>
      <c r="M150" s="1"/>
      <c r="N150" s="1"/>
      <c r="O150" s="1"/>
      <c r="P150" s="1"/>
      <c r="Q150" s="1"/>
      <c r="R150" s="1"/>
    </row>
    <row r="151" spans="3:30" x14ac:dyDescent="0.2">
      <c r="C151" s="17" t="s">
        <v>712</v>
      </c>
      <c r="D151" s="39">
        <f>+$T$113</f>
        <v>32.194108</v>
      </c>
      <c r="E151" s="39">
        <f>+D151</f>
        <v>32.194108</v>
      </c>
      <c r="F151" s="17"/>
      <c r="G151" s="1"/>
      <c r="H151" s="1"/>
      <c r="I151" s="1"/>
      <c r="J151" s="1"/>
      <c r="K151" s="1"/>
      <c r="L151" s="1"/>
      <c r="M151" s="1"/>
      <c r="N151" s="1"/>
      <c r="O151" s="1"/>
      <c r="P151" s="1"/>
      <c r="Q151" s="1"/>
      <c r="R151" s="1"/>
    </row>
    <row r="152" spans="3:30" x14ac:dyDescent="0.2">
      <c r="D152" s="21"/>
      <c r="E152" s="17"/>
      <c r="F152" s="17"/>
      <c r="G152" s="1"/>
      <c r="H152" s="1"/>
      <c r="I152" s="1"/>
      <c r="J152" s="1"/>
      <c r="K152" s="1"/>
      <c r="L152" s="1"/>
      <c r="M152" s="1"/>
      <c r="N152" s="1"/>
      <c r="O152" s="1"/>
      <c r="P152" s="1"/>
      <c r="Q152" s="1"/>
      <c r="R152" s="1"/>
    </row>
    <row r="153" spans="3:30" x14ac:dyDescent="0.2">
      <c r="C153" s="18" t="s">
        <v>713</v>
      </c>
      <c r="D153" s="35">
        <f ca="1">+D149/D151</f>
        <v>24.051176815482602</v>
      </c>
      <c r="E153" s="35">
        <f>+E149/E151</f>
        <v>28.696787472612833</v>
      </c>
      <c r="F153" s="17"/>
      <c r="G153" s="1"/>
      <c r="H153" s="1"/>
      <c r="I153" s="1"/>
      <c r="J153" s="1"/>
      <c r="K153" s="1"/>
      <c r="L153" s="1"/>
      <c r="M153" s="1"/>
      <c r="N153" s="1"/>
      <c r="O153" s="1"/>
      <c r="P153" s="1"/>
      <c r="Q153" s="1"/>
      <c r="R153" s="1"/>
    </row>
    <row r="154" spans="3:30" x14ac:dyDescent="0.2">
      <c r="C154" s="17" t="s">
        <v>714</v>
      </c>
      <c r="D154" s="21"/>
      <c r="E154" s="3">
        <f ca="1">+E153/D153-1</f>
        <v>0.19315523280921898</v>
      </c>
      <c r="F154" s="1"/>
      <c r="G154" s="1"/>
      <c r="H154" s="1"/>
      <c r="I154" s="1"/>
      <c r="J154" s="1"/>
      <c r="K154" s="1"/>
      <c r="L154" s="1"/>
      <c r="M154" s="1"/>
      <c r="N154" s="1"/>
      <c r="O154" s="1"/>
      <c r="P154" s="1"/>
      <c r="Q154" s="1"/>
      <c r="R154" s="1"/>
    </row>
    <row r="155" spans="3:30" x14ac:dyDescent="0.2">
      <c r="D155" s="21"/>
      <c r="E155" s="1"/>
      <c r="F155" s="1"/>
      <c r="G155" s="1"/>
      <c r="H155" s="1"/>
      <c r="I155" s="1"/>
      <c r="J155" s="1"/>
      <c r="K155" s="1"/>
      <c r="L155" s="1"/>
      <c r="M155" s="1"/>
      <c r="N155" s="1"/>
      <c r="O155" s="1"/>
      <c r="P155" s="1"/>
      <c r="Q155" s="1"/>
      <c r="R155" s="1"/>
    </row>
    <row r="156" spans="3:30" x14ac:dyDescent="0.2">
      <c r="C156" s="17" t="e" vm="29">
        <v>#VALUE!</v>
      </c>
      <c r="D156" s="85" cm="1">
        <f t="array" ref="D156">_FV($C$156,"Precio")</f>
        <v>30.53</v>
      </c>
      <c r="E156" s="85" cm="1">
        <f t="array" ref="E156">_FV($C$156,"Precio")</f>
        <v>30.53</v>
      </c>
      <c r="F156" s="1"/>
      <c r="G156" s="1"/>
      <c r="H156" s="1"/>
      <c r="I156" s="1"/>
      <c r="J156" s="1"/>
      <c r="K156" s="1"/>
      <c r="L156" s="1"/>
      <c r="M156" s="1"/>
      <c r="N156" s="1"/>
      <c r="O156" s="1"/>
      <c r="P156" s="1"/>
      <c r="Q156" s="1"/>
      <c r="R156" s="1"/>
    </row>
    <row r="157" spans="3:30" x14ac:dyDescent="0.2">
      <c r="C157" s="17" t="s">
        <v>716</v>
      </c>
      <c r="D157" s="84">
        <f>+D156*D151</f>
        <v>982.88611724000009</v>
      </c>
      <c r="E157" s="84">
        <f>+E156*E151</f>
        <v>982.88611724000009</v>
      </c>
      <c r="F157" s="1"/>
      <c r="G157" s="1"/>
      <c r="H157" s="1"/>
      <c r="I157" s="1"/>
      <c r="J157" s="1"/>
      <c r="K157" s="1"/>
      <c r="L157" s="1"/>
      <c r="M157" s="1"/>
      <c r="N157" s="1"/>
      <c r="O157" s="1"/>
      <c r="P157" s="1"/>
      <c r="Q157" s="1"/>
      <c r="R157" s="1"/>
    </row>
    <row r="158" spans="3:30" x14ac:dyDescent="0.2">
      <c r="C158" s="18" t="s">
        <v>30</v>
      </c>
      <c r="D158" s="121">
        <f ca="1">+D156/D153</f>
        <v>1.2693765562584343</v>
      </c>
      <c r="E158" s="121">
        <f>+E156/E153</f>
        <v>1.0638821515870625</v>
      </c>
      <c r="F158" s="1"/>
      <c r="G158" s="1"/>
      <c r="H158" s="1"/>
      <c r="I158" s="1"/>
      <c r="J158" s="1"/>
      <c r="K158" s="1"/>
      <c r="L158" s="1"/>
      <c r="M158" s="1"/>
      <c r="N158" s="1"/>
      <c r="O158" s="1"/>
      <c r="P158" s="1"/>
      <c r="Q158" s="1"/>
      <c r="R158" s="1"/>
    </row>
    <row r="159" spans="3:30" x14ac:dyDescent="0.2">
      <c r="D159" s="1"/>
      <c r="E159" s="1"/>
      <c r="F159" s="1"/>
      <c r="G159" s="1"/>
      <c r="H159" s="1"/>
      <c r="I159" s="1"/>
      <c r="J159" s="1"/>
      <c r="K159" s="1"/>
      <c r="L159" s="1"/>
      <c r="M159" s="1"/>
      <c r="N159" s="1"/>
      <c r="O159" s="1"/>
      <c r="P159" s="1"/>
      <c r="Q159" s="1"/>
      <c r="R159" s="1"/>
    </row>
    <row r="160" spans="3:30" x14ac:dyDescent="0.2">
      <c r="C160" s="30" t="s">
        <v>752</v>
      </c>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row>
    <row r="161" spans="3:30" x14ac:dyDescent="0.2">
      <c r="C161" s="17" t="s">
        <v>753</v>
      </c>
      <c r="T161" s="57" t="s">
        <v>754</v>
      </c>
      <c r="U161" s="128">
        <v>0.95</v>
      </c>
      <c r="V161" s="128">
        <v>0.95</v>
      </c>
      <c r="W161" s="128">
        <v>0.95</v>
      </c>
      <c r="X161" s="128">
        <v>0.95</v>
      </c>
      <c r="Y161" s="129"/>
      <c r="Z161" s="128">
        <v>0.95</v>
      </c>
      <c r="AA161" s="128">
        <v>0.95</v>
      </c>
      <c r="AB161" s="128">
        <v>0.95</v>
      </c>
      <c r="AC161" s="128">
        <v>0.95</v>
      </c>
      <c r="AD161" s="129">
        <v>0.95</v>
      </c>
    </row>
    <row r="162" spans="3:30" x14ac:dyDescent="0.2">
      <c r="C162" s="17" t="s">
        <v>755</v>
      </c>
      <c r="T162" s="123" t="s">
        <v>755</v>
      </c>
      <c r="U162" s="40">
        <v>90</v>
      </c>
      <c r="V162" s="40">
        <v>90</v>
      </c>
      <c r="W162" s="40">
        <v>90</v>
      </c>
      <c r="X162" s="40">
        <v>90</v>
      </c>
      <c r="Y162" s="34"/>
      <c r="Z162" s="40">
        <v>90</v>
      </c>
      <c r="AA162" s="40">
        <v>90</v>
      </c>
      <c r="AB162" s="40">
        <v>90</v>
      </c>
      <c r="AC162" s="40">
        <v>90</v>
      </c>
      <c r="AD162" s="34">
        <v>90</v>
      </c>
    </row>
    <row r="163" spans="3:30" ht="5.0999999999999996" customHeight="1" x14ac:dyDescent="0.2">
      <c r="T163" s="123"/>
      <c r="U163" s="34"/>
      <c r="V163" s="34"/>
      <c r="W163" s="34"/>
      <c r="X163" s="34"/>
      <c r="Y163" s="34"/>
      <c r="Z163" s="34"/>
      <c r="AA163" s="34"/>
      <c r="AB163" s="34"/>
      <c r="AC163" s="34"/>
      <c r="AD163" s="34"/>
    </row>
    <row r="164" spans="3:30" x14ac:dyDescent="0.2">
      <c r="C164" s="127" t="s">
        <v>756</v>
      </c>
      <c r="D164" s="124"/>
      <c r="E164" s="124"/>
      <c r="F164" s="124"/>
      <c r="G164" s="124"/>
      <c r="H164" s="124"/>
      <c r="I164" s="124"/>
      <c r="J164" s="124"/>
      <c r="K164" s="124"/>
      <c r="L164" s="124"/>
      <c r="M164" s="124"/>
      <c r="N164" s="124"/>
      <c r="O164" s="124"/>
      <c r="P164" s="124"/>
      <c r="Q164" s="124"/>
      <c r="R164" s="124"/>
      <c r="S164" s="124"/>
      <c r="T164" s="125"/>
      <c r="U164" s="126"/>
      <c r="V164" s="126"/>
      <c r="W164" s="126"/>
      <c r="X164" s="126"/>
      <c r="Y164" s="126"/>
      <c r="Z164" s="126"/>
      <c r="AA164" s="126"/>
      <c r="AB164" s="126"/>
      <c r="AC164" s="126"/>
      <c r="AD164" s="126"/>
    </row>
    <row r="165" spans="3:30" x14ac:dyDescent="0.2">
      <c r="C165" s="17" t="s">
        <v>184</v>
      </c>
      <c r="T165" s="59" t="s">
        <v>11</v>
      </c>
      <c r="U165" s="40">
        <v>73900</v>
      </c>
      <c r="V165" s="40">
        <f>'FFA &amp; Spot Rates'!F$24+Premiums!$G$21</f>
        <v>56409.917808219179</v>
      </c>
      <c r="W165" s="40">
        <f>'FFA &amp; Spot Rates'!G$24+Premiums!$G$21</f>
        <v>53610.917808219179</v>
      </c>
      <c r="X165" s="40">
        <f>'FFA &amp; Spot Rates'!H$24+Premiums!$G$21</f>
        <v>79624.917808219179</v>
      </c>
      <c r="Y165" s="34"/>
      <c r="Z165" s="40">
        <f>'FFA &amp; Spot Rates'!J$24+Premiums!$G$21</f>
        <v>89500.917808219179</v>
      </c>
      <c r="AA165" s="40">
        <f>'FFA &amp; Spot Rates'!K$24+Premiums!$G$21</f>
        <v>82281.917808219179</v>
      </c>
      <c r="AB165" s="40">
        <f>'FFA &amp; Spot Rates'!L$24+Premiums!$G$21</f>
        <v>77831.917808219179</v>
      </c>
      <c r="AC165" s="40">
        <f>'FFA &amp; Spot Rates'!M$24+Premiums!$G$21</f>
        <v>112699.91780821918</v>
      </c>
      <c r="AD165" s="34"/>
    </row>
    <row r="166" spans="3:30" x14ac:dyDescent="0.2">
      <c r="C166" s="17" t="s">
        <v>185</v>
      </c>
      <c r="T166" s="59" t="s">
        <v>11</v>
      </c>
      <c r="U166" s="40">
        <v>73900</v>
      </c>
      <c r="V166" s="40">
        <f>'FFA &amp; Spot Rates'!F$24+Premiums!$G$21</f>
        <v>56409.917808219179</v>
      </c>
      <c r="W166" s="40">
        <f>'FFA &amp; Spot Rates'!G$24+Premiums!$G$21</f>
        <v>53610.917808219179</v>
      </c>
      <c r="X166" s="40">
        <f>'FFA &amp; Spot Rates'!H$24+Premiums!$G$21</f>
        <v>79624.917808219179</v>
      </c>
      <c r="Y166" s="34"/>
      <c r="Z166" s="40">
        <f>'FFA &amp; Spot Rates'!J$24+Premiums!$G$21</f>
        <v>89500.917808219179</v>
      </c>
      <c r="AA166" s="40">
        <f>'FFA &amp; Spot Rates'!K$24+Premiums!$G$21</f>
        <v>82281.917808219179</v>
      </c>
      <c r="AB166" s="40">
        <f>'FFA &amp; Spot Rates'!L$24+Premiums!$G$21</f>
        <v>77831.917808219179</v>
      </c>
      <c r="AC166" s="40">
        <f>'FFA &amp; Spot Rates'!M$24+Premiums!$G$21</f>
        <v>112699.91780821918</v>
      </c>
      <c r="AD166" s="34"/>
    </row>
    <row r="167" spans="3:30" x14ac:dyDescent="0.2">
      <c r="C167" s="17" t="s">
        <v>186</v>
      </c>
      <c r="T167" s="59" t="s">
        <v>11</v>
      </c>
      <c r="U167" s="40">
        <v>73900</v>
      </c>
      <c r="V167" s="40">
        <f>'FFA &amp; Spot Rates'!F$24+Premiums!$G$21</f>
        <v>56409.917808219179</v>
      </c>
      <c r="W167" s="40">
        <f>'FFA &amp; Spot Rates'!G$24+Premiums!$G$21</f>
        <v>53610.917808219179</v>
      </c>
      <c r="X167" s="40">
        <f>'FFA &amp; Spot Rates'!H$24+Premiums!$G$21</f>
        <v>79624.917808219179</v>
      </c>
      <c r="Y167" s="34"/>
      <c r="Z167" s="40">
        <f>'FFA &amp; Spot Rates'!J$24+Premiums!$G$21</f>
        <v>89500.917808219179</v>
      </c>
      <c r="AA167" s="40">
        <f>'FFA &amp; Spot Rates'!K$24+Premiums!$G$21</f>
        <v>82281.917808219179</v>
      </c>
      <c r="AB167" s="40">
        <f>'FFA &amp; Spot Rates'!L$24+Premiums!$G$21</f>
        <v>77831.917808219179</v>
      </c>
      <c r="AC167" s="40">
        <f>'FFA &amp; Spot Rates'!M$24+Premiums!$G$21</f>
        <v>112699.91780821918</v>
      </c>
      <c r="AD167" s="34"/>
    </row>
    <row r="168" spans="3:30" x14ac:dyDescent="0.2">
      <c r="C168" s="17" t="s">
        <v>187</v>
      </c>
      <c r="T168" s="59" t="s">
        <v>11</v>
      </c>
      <c r="U168" s="40">
        <v>73900</v>
      </c>
      <c r="V168" s="40">
        <f>'FFA &amp; Spot Rates'!F$24+Premiums!$G$21</f>
        <v>56409.917808219179</v>
      </c>
      <c r="W168" s="40">
        <f>'FFA &amp; Spot Rates'!G$24+Premiums!$G$21</f>
        <v>53610.917808219179</v>
      </c>
      <c r="X168" s="40">
        <f>'FFA &amp; Spot Rates'!H$24+Premiums!$G$21</f>
        <v>79624.917808219179</v>
      </c>
      <c r="Y168" s="34"/>
      <c r="Z168" s="40">
        <f>'FFA &amp; Spot Rates'!J$24+Premiums!$G$21</f>
        <v>89500.917808219179</v>
      </c>
      <c r="AA168" s="40">
        <f>'FFA &amp; Spot Rates'!K$24+Premiums!$G$21</f>
        <v>82281.917808219179</v>
      </c>
      <c r="AB168" s="40">
        <f>'FFA &amp; Spot Rates'!L$24+Premiums!$G$21</f>
        <v>77831.917808219179</v>
      </c>
      <c r="AC168" s="40">
        <f>'FFA &amp; Spot Rates'!M$24+Premiums!$G$21</f>
        <v>112699.91780821918</v>
      </c>
      <c r="AD168" s="34"/>
    </row>
    <row r="169" spans="3:30" x14ac:dyDescent="0.2">
      <c r="C169" s="17" t="s">
        <v>188</v>
      </c>
      <c r="T169" s="59" t="s">
        <v>11</v>
      </c>
      <c r="U169" s="40">
        <v>73900</v>
      </c>
      <c r="V169" s="40">
        <f>'FFA &amp; Spot Rates'!F$24+Premiums!$G$21</f>
        <v>56409.917808219179</v>
      </c>
      <c r="W169" s="40">
        <f>'FFA &amp; Spot Rates'!G$24+Premiums!$G$21</f>
        <v>53610.917808219179</v>
      </c>
      <c r="X169" s="40">
        <f>'FFA &amp; Spot Rates'!H$24+Premiums!$G$21</f>
        <v>79624.917808219179</v>
      </c>
      <c r="Y169" s="34"/>
      <c r="Z169" s="40">
        <f>'FFA &amp; Spot Rates'!J$24+Premiums!$G$21</f>
        <v>89500.917808219179</v>
      </c>
      <c r="AA169" s="40">
        <f>'FFA &amp; Spot Rates'!K$24+Premiums!$G$21</f>
        <v>82281.917808219179</v>
      </c>
      <c r="AB169" s="40">
        <f>'FFA &amp; Spot Rates'!L$24+Premiums!$G$21</f>
        <v>77831.917808219179</v>
      </c>
      <c r="AC169" s="40">
        <f>'FFA &amp; Spot Rates'!M$24+Premiums!$G$21</f>
        <v>112699.91780821918</v>
      </c>
      <c r="AD169" s="34"/>
    </row>
    <row r="170" spans="3:30" x14ac:dyDescent="0.2">
      <c r="C170" s="17" t="s">
        <v>189</v>
      </c>
      <c r="T170" s="59" t="s">
        <v>11</v>
      </c>
      <c r="U170" s="40">
        <v>73900</v>
      </c>
      <c r="V170" s="40">
        <f>'FFA &amp; Spot Rates'!F$24+Premiums!$G$21</f>
        <v>56409.917808219179</v>
      </c>
      <c r="W170" s="40">
        <f>'FFA &amp; Spot Rates'!G$24+Premiums!$G$21</f>
        <v>53610.917808219179</v>
      </c>
      <c r="X170" s="40">
        <f>'FFA &amp; Spot Rates'!H$24+Premiums!$G$21</f>
        <v>79624.917808219179</v>
      </c>
      <c r="Y170" s="34"/>
      <c r="Z170" s="40">
        <f>'FFA &amp; Spot Rates'!J$24+Premiums!$G$21</f>
        <v>89500.917808219179</v>
      </c>
      <c r="AA170" s="40">
        <f>'FFA &amp; Spot Rates'!K$24+Premiums!$G$21</f>
        <v>82281.917808219179</v>
      </c>
      <c r="AB170" s="40">
        <f>'FFA &amp; Spot Rates'!L$24+Premiums!$G$21</f>
        <v>77831.917808219179</v>
      </c>
      <c r="AC170" s="40">
        <f>'FFA &amp; Spot Rates'!M$24+Premiums!$G$21</f>
        <v>112699.91780821918</v>
      </c>
      <c r="AD170" s="34"/>
    </row>
    <row r="171" spans="3:30" x14ac:dyDescent="0.2">
      <c r="C171" s="17" t="s">
        <v>190</v>
      </c>
      <c r="T171" s="59" t="s">
        <v>11</v>
      </c>
      <c r="U171" s="40">
        <v>73900</v>
      </c>
      <c r="V171" s="40">
        <f>'FFA &amp; Spot Rates'!F$24+Premiums!$G$21</f>
        <v>56409.917808219179</v>
      </c>
      <c r="W171" s="40">
        <f>'FFA &amp; Spot Rates'!G$24+Premiums!$G$21</f>
        <v>53610.917808219179</v>
      </c>
      <c r="X171" s="40">
        <f>'FFA &amp; Spot Rates'!H$24+Premiums!$G$21</f>
        <v>79624.917808219179</v>
      </c>
      <c r="Y171" s="34"/>
      <c r="Z171" s="40">
        <f>'FFA &amp; Spot Rates'!J$24+Premiums!$G$21</f>
        <v>89500.917808219179</v>
      </c>
      <c r="AA171" s="40">
        <f>'FFA &amp; Spot Rates'!K$24+Premiums!$G$21</f>
        <v>82281.917808219179</v>
      </c>
      <c r="AB171" s="40">
        <f>'FFA &amp; Spot Rates'!L$24+Premiums!$G$21</f>
        <v>77831.917808219179</v>
      </c>
      <c r="AC171" s="40">
        <f>'FFA &amp; Spot Rates'!M$24+Premiums!$G$21</f>
        <v>112699.91780821918</v>
      </c>
      <c r="AD171" s="34"/>
    </row>
    <row r="172" spans="3:30" x14ac:dyDescent="0.2">
      <c r="C172" s="17" t="s">
        <v>191</v>
      </c>
      <c r="T172" s="59" t="s">
        <v>11</v>
      </c>
      <c r="U172" s="40">
        <v>73900</v>
      </c>
      <c r="V172" s="40">
        <f>'FFA &amp; Spot Rates'!F$24+Premiums!$G$21</f>
        <v>56409.917808219179</v>
      </c>
      <c r="W172" s="40">
        <f>'FFA &amp; Spot Rates'!G$24+Premiums!$G$21</f>
        <v>53610.917808219179</v>
      </c>
      <c r="X172" s="40">
        <f>'FFA &amp; Spot Rates'!H$24+Premiums!$G$21</f>
        <v>79624.917808219179</v>
      </c>
      <c r="Y172" s="34"/>
      <c r="Z172" s="40">
        <f>'FFA &amp; Spot Rates'!J$24+Premiums!$G$21</f>
        <v>89500.917808219179</v>
      </c>
      <c r="AA172" s="40">
        <f>'FFA &amp; Spot Rates'!K$24+Premiums!$G$21</f>
        <v>82281.917808219179</v>
      </c>
      <c r="AB172" s="40">
        <f>'FFA &amp; Spot Rates'!L$24+Premiums!$G$21</f>
        <v>77831.917808219179</v>
      </c>
      <c r="AC172" s="40">
        <f>'FFA &amp; Spot Rates'!M$24+Premiums!$G$21</f>
        <v>112699.91780821918</v>
      </c>
      <c r="AD172" s="34"/>
    </row>
    <row r="173" spans="3:30" x14ac:dyDescent="0.2">
      <c r="C173" s="17" t="s">
        <v>178</v>
      </c>
      <c r="T173" s="59" t="s">
        <v>13</v>
      </c>
      <c r="U173" s="40">
        <v>58800</v>
      </c>
      <c r="V173" s="40">
        <f>'FFA &amp; Spot Rates'!F$27+Premiums!$G$22</f>
        <v>56817.164383561641</v>
      </c>
      <c r="W173" s="40">
        <f>'FFA &amp; Spot Rates'!G$27+Premiums!$G$22</f>
        <v>54224.164383561641</v>
      </c>
      <c r="X173" s="40">
        <f>'FFA &amp; Spot Rates'!H$27+Premiums!$G$22</f>
        <v>79644.164383561641</v>
      </c>
      <c r="Y173" s="34"/>
      <c r="Z173" s="40">
        <f>'FFA &amp; Spot Rates'!J$27+Premiums!$G$22</f>
        <v>71318.164383561641</v>
      </c>
      <c r="AA173" s="40">
        <f>'FFA &amp; Spot Rates'!K$27+Premiums!$G$22</f>
        <v>64676.164383561641</v>
      </c>
      <c r="AB173" s="40">
        <f>'FFA &amp; Spot Rates'!L$27+Premiums!$G$22</f>
        <v>61676.164383561641</v>
      </c>
      <c r="AC173" s="40">
        <f>'FFA &amp; Spot Rates'!M$27+Premiums!$G$22</f>
        <v>90426.164383561641</v>
      </c>
      <c r="AD173" s="34"/>
    </row>
    <row r="174" spans="3:30" x14ac:dyDescent="0.2">
      <c r="C174" s="17" t="s">
        <v>179</v>
      </c>
      <c r="T174" s="59" t="s">
        <v>13</v>
      </c>
      <c r="U174" s="40">
        <v>58800</v>
      </c>
      <c r="V174" s="40">
        <f>'FFA &amp; Spot Rates'!F$27+Premiums!$G$22</f>
        <v>56817.164383561641</v>
      </c>
      <c r="W174" s="40">
        <f>'FFA &amp; Spot Rates'!G$27+Premiums!$G$22</f>
        <v>54224.164383561641</v>
      </c>
      <c r="X174" s="40">
        <f>'FFA &amp; Spot Rates'!H$27+Premiums!$G$22</f>
        <v>79644.164383561641</v>
      </c>
      <c r="Y174" s="34"/>
      <c r="Z174" s="40">
        <f>'FFA &amp; Spot Rates'!J$27+Premiums!$G$22</f>
        <v>71318.164383561641</v>
      </c>
      <c r="AA174" s="40">
        <f>'FFA &amp; Spot Rates'!K$27+Premiums!$G$22</f>
        <v>64676.164383561641</v>
      </c>
      <c r="AB174" s="40">
        <f>'FFA &amp; Spot Rates'!L$27+Premiums!$G$22</f>
        <v>61676.164383561641</v>
      </c>
      <c r="AC174" s="40">
        <f>'FFA &amp; Spot Rates'!M$27+Premiums!$G$22</f>
        <v>90426.164383561641</v>
      </c>
      <c r="AD174" s="34"/>
    </row>
    <row r="175" spans="3:30" x14ac:dyDescent="0.2">
      <c r="C175" s="17" t="s">
        <v>180</v>
      </c>
      <c r="T175" s="59" t="s">
        <v>13</v>
      </c>
      <c r="U175" s="40">
        <v>58800</v>
      </c>
      <c r="V175" s="40">
        <f>'FFA &amp; Spot Rates'!F$27+Premiums!$G$22</f>
        <v>56817.164383561641</v>
      </c>
      <c r="W175" s="40">
        <f>'FFA &amp; Spot Rates'!G$27+Premiums!$G$22</f>
        <v>54224.164383561641</v>
      </c>
      <c r="X175" s="40">
        <f>'FFA &amp; Spot Rates'!H$27+Premiums!$G$22</f>
        <v>79644.164383561641</v>
      </c>
      <c r="Y175" s="34"/>
      <c r="Z175" s="40">
        <f>'FFA &amp; Spot Rates'!J$27+Premiums!$G$22</f>
        <v>71318.164383561641</v>
      </c>
      <c r="AA175" s="40">
        <f>'FFA &amp; Spot Rates'!K$27+Premiums!$G$22</f>
        <v>64676.164383561641</v>
      </c>
      <c r="AB175" s="40">
        <f>'FFA &amp; Spot Rates'!L$27+Premiums!$G$22</f>
        <v>61676.164383561641</v>
      </c>
      <c r="AC175" s="40">
        <f>'FFA &amp; Spot Rates'!M$27+Premiums!$G$22</f>
        <v>90426.164383561641</v>
      </c>
      <c r="AD175" s="34"/>
    </row>
    <row r="176" spans="3:30" x14ac:dyDescent="0.2">
      <c r="C176" s="17" t="s">
        <v>181</v>
      </c>
      <c r="T176" s="59" t="s">
        <v>13</v>
      </c>
      <c r="U176" s="40">
        <v>58800</v>
      </c>
      <c r="V176" s="40">
        <f>'FFA &amp; Spot Rates'!F$27+Premiums!$G$22</f>
        <v>56817.164383561641</v>
      </c>
      <c r="W176" s="40">
        <f>'FFA &amp; Spot Rates'!G$27+Premiums!$G$22</f>
        <v>54224.164383561641</v>
      </c>
      <c r="X176" s="40">
        <f>'FFA &amp; Spot Rates'!H$27+Premiums!$G$22</f>
        <v>79644.164383561641</v>
      </c>
      <c r="Y176" s="34"/>
      <c r="Z176" s="40">
        <f>'FFA &amp; Spot Rates'!J$27+Premiums!$G$22</f>
        <v>71318.164383561641</v>
      </c>
      <c r="AA176" s="40">
        <f>'FFA &amp; Spot Rates'!K$27+Premiums!$G$22</f>
        <v>64676.164383561641</v>
      </c>
      <c r="AB176" s="40">
        <f>'FFA &amp; Spot Rates'!L$27+Premiums!$G$22</f>
        <v>61676.164383561641</v>
      </c>
      <c r="AC176" s="40">
        <f>'FFA &amp; Spot Rates'!M$27+Premiums!$G$22</f>
        <v>90426.164383561641</v>
      </c>
      <c r="AD176" s="34"/>
    </row>
    <row r="177" spans="3:30" x14ac:dyDescent="0.2">
      <c r="C177" s="17" t="s">
        <v>182</v>
      </c>
      <c r="T177" s="59" t="s">
        <v>13</v>
      </c>
      <c r="U177" s="40">
        <v>58800</v>
      </c>
      <c r="V177" s="40">
        <f>'FFA &amp; Spot Rates'!F$27+Premiums!$G$22</f>
        <v>56817.164383561641</v>
      </c>
      <c r="W177" s="40">
        <f>'FFA &amp; Spot Rates'!G$27+Premiums!$G$22</f>
        <v>54224.164383561641</v>
      </c>
      <c r="X177" s="40">
        <f>'FFA &amp; Spot Rates'!H$27+Premiums!$G$22</f>
        <v>79644.164383561641</v>
      </c>
      <c r="Y177" s="34"/>
      <c r="Z177" s="40">
        <f>'FFA &amp; Spot Rates'!J$27+Premiums!$G$22</f>
        <v>71318.164383561641</v>
      </c>
      <c r="AA177" s="40">
        <f>'FFA &amp; Spot Rates'!K$27+Premiums!$G$22</f>
        <v>64676.164383561641</v>
      </c>
      <c r="AB177" s="40">
        <f>'FFA &amp; Spot Rates'!L$27+Premiums!$G$22</f>
        <v>61676.164383561641</v>
      </c>
      <c r="AC177" s="40">
        <f>'FFA &amp; Spot Rates'!M$27+Premiums!$G$22</f>
        <v>90426.164383561641</v>
      </c>
      <c r="AD177" s="34"/>
    </row>
    <row r="178" spans="3:30" x14ac:dyDescent="0.2">
      <c r="C178" s="17" t="s">
        <v>183</v>
      </c>
      <c r="T178" s="59" t="s">
        <v>13</v>
      </c>
      <c r="U178" s="40">
        <v>58800</v>
      </c>
      <c r="V178" s="40">
        <f>'FFA &amp; Spot Rates'!F$27+Premiums!$G$22</f>
        <v>56817.164383561641</v>
      </c>
      <c r="W178" s="40">
        <f>'FFA &amp; Spot Rates'!G$27+Premiums!$G$22</f>
        <v>54224.164383561641</v>
      </c>
      <c r="X178" s="40">
        <f>'FFA &amp; Spot Rates'!H$27+Premiums!$G$22</f>
        <v>79644.164383561641</v>
      </c>
      <c r="Y178" s="34"/>
      <c r="Z178" s="40">
        <f>'FFA &amp; Spot Rates'!J$27+Premiums!$G$22</f>
        <v>71318.164383561641</v>
      </c>
      <c r="AA178" s="40">
        <f>'FFA &amp; Spot Rates'!K$27+Premiums!$G$22</f>
        <v>64676.164383561641</v>
      </c>
      <c r="AB178" s="40">
        <f>'FFA &amp; Spot Rates'!L$27+Premiums!$G$22</f>
        <v>61676.164383561641</v>
      </c>
      <c r="AC178" s="40">
        <f>'FFA &amp; Spot Rates'!M$27+Premiums!$G$22</f>
        <v>90426.164383561641</v>
      </c>
      <c r="AD178" s="34"/>
    </row>
    <row r="179" spans="3:30" ht="5.0999999999999996" customHeight="1" x14ac:dyDescent="0.2"/>
    <row r="180" spans="3:30" x14ac:dyDescent="0.2">
      <c r="C180" s="127" t="s">
        <v>719</v>
      </c>
      <c r="D180" s="124"/>
      <c r="E180" s="124"/>
      <c r="F180" s="124"/>
      <c r="G180" s="124"/>
      <c r="H180" s="124"/>
      <c r="I180" s="124"/>
      <c r="J180" s="124"/>
      <c r="K180" s="124"/>
      <c r="L180" s="124"/>
      <c r="M180" s="124"/>
      <c r="N180" s="124"/>
      <c r="O180" s="124"/>
      <c r="P180" s="124"/>
      <c r="Q180" s="124"/>
      <c r="R180" s="124"/>
      <c r="S180" s="124"/>
      <c r="T180" s="125"/>
      <c r="U180" s="126"/>
      <c r="V180" s="126"/>
      <c r="W180" s="126"/>
      <c r="X180" s="126"/>
      <c r="Y180" s="126"/>
      <c r="Z180" s="126"/>
      <c r="AA180" s="126"/>
      <c r="AB180" s="126"/>
      <c r="AC180" s="126"/>
      <c r="AD180" s="126"/>
    </row>
    <row r="181" spans="3:30" x14ac:dyDescent="0.2">
      <c r="C181" s="17" t="s">
        <v>184</v>
      </c>
      <c r="T181" s="59" t="s">
        <v>11</v>
      </c>
      <c r="U181" s="40">
        <v>9105</v>
      </c>
      <c r="V181" s="40">
        <v>9105</v>
      </c>
      <c r="W181" s="40">
        <v>9105</v>
      </c>
      <c r="X181" s="40">
        <v>9105</v>
      </c>
      <c r="Y181" s="34"/>
      <c r="Z181" s="40">
        <v>9105</v>
      </c>
      <c r="AA181" s="40">
        <v>9105</v>
      </c>
      <c r="AB181" s="40">
        <v>9105</v>
      </c>
      <c r="AC181" s="40">
        <v>9105</v>
      </c>
      <c r="AD181" s="34"/>
    </row>
    <row r="182" spans="3:30" x14ac:dyDescent="0.2">
      <c r="C182" s="17" t="s">
        <v>185</v>
      </c>
      <c r="T182" s="59" t="s">
        <v>11</v>
      </c>
      <c r="U182" s="40">
        <v>9105</v>
      </c>
      <c r="V182" s="40">
        <v>9105</v>
      </c>
      <c r="W182" s="40">
        <v>9105</v>
      </c>
      <c r="X182" s="40">
        <v>9105</v>
      </c>
      <c r="Y182" s="34"/>
      <c r="Z182" s="40">
        <v>9105</v>
      </c>
      <c r="AA182" s="40">
        <v>9105</v>
      </c>
      <c r="AB182" s="40">
        <v>9105</v>
      </c>
      <c r="AC182" s="40">
        <v>9105</v>
      </c>
      <c r="AD182" s="34"/>
    </row>
    <row r="183" spans="3:30" x14ac:dyDescent="0.2">
      <c r="C183" s="17" t="s">
        <v>186</v>
      </c>
      <c r="T183" s="59" t="s">
        <v>11</v>
      </c>
      <c r="U183" s="40">
        <v>9105</v>
      </c>
      <c r="V183" s="40">
        <v>9105</v>
      </c>
      <c r="W183" s="40">
        <v>9105</v>
      </c>
      <c r="X183" s="40">
        <v>9105</v>
      </c>
      <c r="Y183" s="34"/>
      <c r="Z183" s="40">
        <v>9105</v>
      </c>
      <c r="AA183" s="40">
        <v>9105</v>
      </c>
      <c r="AB183" s="40">
        <v>9105</v>
      </c>
      <c r="AC183" s="40">
        <v>9105</v>
      </c>
      <c r="AD183" s="34"/>
    </row>
    <row r="184" spans="3:30" x14ac:dyDescent="0.2">
      <c r="C184" s="17" t="s">
        <v>187</v>
      </c>
      <c r="T184" s="59" t="s">
        <v>11</v>
      </c>
      <c r="U184" s="40">
        <v>9105</v>
      </c>
      <c r="V184" s="40">
        <v>9105</v>
      </c>
      <c r="W184" s="40">
        <v>9105</v>
      </c>
      <c r="X184" s="40">
        <v>9105</v>
      </c>
      <c r="Y184" s="34"/>
      <c r="Z184" s="40">
        <v>9105</v>
      </c>
      <c r="AA184" s="40">
        <v>9105</v>
      </c>
      <c r="AB184" s="40">
        <v>9105</v>
      </c>
      <c r="AC184" s="40">
        <v>9105</v>
      </c>
      <c r="AD184" s="34"/>
    </row>
    <row r="185" spans="3:30" x14ac:dyDescent="0.2">
      <c r="C185" s="17" t="s">
        <v>188</v>
      </c>
      <c r="T185" s="59" t="s">
        <v>11</v>
      </c>
      <c r="U185" s="40">
        <v>9105</v>
      </c>
      <c r="V185" s="40">
        <v>9105</v>
      </c>
      <c r="W185" s="40">
        <v>9105</v>
      </c>
      <c r="X185" s="40">
        <v>9105</v>
      </c>
      <c r="Y185" s="34"/>
      <c r="Z185" s="40">
        <v>9105</v>
      </c>
      <c r="AA185" s="40">
        <v>9105</v>
      </c>
      <c r="AB185" s="40">
        <v>9105</v>
      </c>
      <c r="AC185" s="40">
        <v>9105</v>
      </c>
      <c r="AD185" s="34"/>
    </row>
    <row r="186" spans="3:30" x14ac:dyDescent="0.2">
      <c r="C186" s="17" t="s">
        <v>189</v>
      </c>
      <c r="T186" s="59" t="s">
        <v>11</v>
      </c>
      <c r="U186" s="40">
        <v>9105</v>
      </c>
      <c r="V186" s="40">
        <v>9105</v>
      </c>
      <c r="W186" s="40">
        <v>9105</v>
      </c>
      <c r="X186" s="40">
        <v>9105</v>
      </c>
      <c r="Y186" s="34"/>
      <c r="Z186" s="40">
        <v>9105</v>
      </c>
      <c r="AA186" s="40">
        <v>9105</v>
      </c>
      <c r="AB186" s="40">
        <v>9105</v>
      </c>
      <c r="AC186" s="40">
        <v>9105</v>
      </c>
      <c r="AD186" s="34"/>
    </row>
    <row r="187" spans="3:30" x14ac:dyDescent="0.2">
      <c r="C187" s="17" t="s">
        <v>190</v>
      </c>
      <c r="T187" s="59" t="s">
        <v>11</v>
      </c>
      <c r="U187" s="40">
        <v>9105</v>
      </c>
      <c r="V187" s="40">
        <v>9105</v>
      </c>
      <c r="W187" s="40">
        <v>9105</v>
      </c>
      <c r="X187" s="40">
        <v>9105</v>
      </c>
      <c r="Y187" s="34"/>
      <c r="Z187" s="40">
        <v>9105</v>
      </c>
      <c r="AA187" s="40">
        <v>9105</v>
      </c>
      <c r="AB187" s="40">
        <v>9105</v>
      </c>
      <c r="AC187" s="40">
        <v>9105</v>
      </c>
      <c r="AD187" s="34"/>
    </row>
    <row r="188" spans="3:30" x14ac:dyDescent="0.2">
      <c r="C188" s="17" t="s">
        <v>191</v>
      </c>
      <c r="T188" s="59" t="s">
        <v>11</v>
      </c>
      <c r="U188" s="40">
        <v>9105</v>
      </c>
      <c r="V188" s="40">
        <v>9105</v>
      </c>
      <c r="W188" s="40">
        <v>9105</v>
      </c>
      <c r="X188" s="40">
        <v>9105</v>
      </c>
      <c r="Y188" s="34"/>
      <c r="Z188" s="40">
        <v>9105</v>
      </c>
      <c r="AA188" s="40">
        <v>9105</v>
      </c>
      <c r="AB188" s="40">
        <v>9105</v>
      </c>
      <c r="AC188" s="40">
        <v>9105</v>
      </c>
      <c r="AD188" s="34"/>
    </row>
    <row r="189" spans="3:30" x14ac:dyDescent="0.2">
      <c r="C189" s="17" t="s">
        <v>178</v>
      </c>
      <c r="T189" s="59" t="s">
        <v>13</v>
      </c>
      <c r="U189" s="40">
        <v>9105</v>
      </c>
      <c r="V189" s="40">
        <v>9105</v>
      </c>
      <c r="W189" s="40">
        <v>9105</v>
      </c>
      <c r="X189" s="40">
        <v>9105</v>
      </c>
      <c r="Y189" s="34"/>
      <c r="Z189" s="40">
        <v>9105</v>
      </c>
      <c r="AA189" s="40">
        <v>9105</v>
      </c>
      <c r="AB189" s="40">
        <v>9105</v>
      </c>
      <c r="AC189" s="40">
        <v>9105</v>
      </c>
      <c r="AD189" s="34"/>
    </row>
    <row r="190" spans="3:30" x14ac:dyDescent="0.2">
      <c r="C190" s="17" t="s">
        <v>179</v>
      </c>
      <c r="T190" s="59" t="s">
        <v>13</v>
      </c>
      <c r="U190" s="40">
        <v>9105</v>
      </c>
      <c r="V190" s="40">
        <v>9105</v>
      </c>
      <c r="W190" s="40">
        <v>9105</v>
      </c>
      <c r="X190" s="40">
        <v>9105</v>
      </c>
      <c r="Y190" s="34"/>
      <c r="Z190" s="40">
        <v>9105</v>
      </c>
      <c r="AA190" s="40">
        <v>9105</v>
      </c>
      <c r="AB190" s="40">
        <v>9105</v>
      </c>
      <c r="AC190" s="40">
        <v>9105</v>
      </c>
      <c r="AD190" s="34"/>
    </row>
    <row r="191" spans="3:30" x14ac:dyDescent="0.2">
      <c r="C191" s="17" t="s">
        <v>180</v>
      </c>
      <c r="T191" s="59" t="s">
        <v>13</v>
      </c>
      <c r="U191" s="40">
        <v>9105</v>
      </c>
      <c r="V191" s="40">
        <v>9105</v>
      </c>
      <c r="W191" s="40">
        <v>9105</v>
      </c>
      <c r="X191" s="40">
        <v>9105</v>
      </c>
      <c r="Y191" s="34"/>
      <c r="Z191" s="40">
        <v>9105</v>
      </c>
      <c r="AA191" s="40">
        <v>9105</v>
      </c>
      <c r="AB191" s="40">
        <v>9105</v>
      </c>
      <c r="AC191" s="40">
        <v>9105</v>
      </c>
      <c r="AD191" s="34"/>
    </row>
    <row r="192" spans="3:30" x14ac:dyDescent="0.2">
      <c r="C192" s="17" t="s">
        <v>181</v>
      </c>
      <c r="T192" s="59" t="s">
        <v>13</v>
      </c>
      <c r="U192" s="40">
        <v>9105</v>
      </c>
      <c r="V192" s="40">
        <v>9105</v>
      </c>
      <c r="W192" s="40">
        <v>9105</v>
      </c>
      <c r="X192" s="40">
        <v>9105</v>
      </c>
      <c r="Y192" s="34"/>
      <c r="Z192" s="40">
        <v>9105</v>
      </c>
      <c r="AA192" s="40">
        <v>9105</v>
      </c>
      <c r="AB192" s="40">
        <v>9105</v>
      </c>
      <c r="AC192" s="40">
        <v>9105</v>
      </c>
      <c r="AD192" s="34"/>
    </row>
    <row r="193" spans="3:30" x14ac:dyDescent="0.2">
      <c r="C193" s="17" t="s">
        <v>182</v>
      </c>
      <c r="T193" s="59" t="s">
        <v>13</v>
      </c>
      <c r="U193" s="40">
        <v>9105</v>
      </c>
      <c r="V193" s="40">
        <v>9105</v>
      </c>
      <c r="W193" s="40">
        <v>9105</v>
      </c>
      <c r="X193" s="40">
        <v>9105</v>
      </c>
      <c r="Y193" s="34"/>
      <c r="Z193" s="40">
        <v>9105</v>
      </c>
      <c r="AA193" s="40">
        <v>9105</v>
      </c>
      <c r="AB193" s="40">
        <v>9105</v>
      </c>
      <c r="AC193" s="40">
        <v>9105</v>
      </c>
      <c r="AD193" s="34"/>
    </row>
    <row r="194" spans="3:30" x14ac:dyDescent="0.2">
      <c r="C194" s="17" t="s">
        <v>183</v>
      </c>
      <c r="T194" s="59" t="s">
        <v>13</v>
      </c>
      <c r="U194" s="40">
        <v>9105</v>
      </c>
      <c r="V194" s="40">
        <v>9105</v>
      </c>
      <c r="W194" s="40">
        <v>9105</v>
      </c>
      <c r="X194" s="40">
        <v>9105</v>
      </c>
      <c r="Y194" s="34"/>
      <c r="Z194" s="40">
        <v>9105</v>
      </c>
      <c r="AA194" s="40">
        <v>9105</v>
      </c>
      <c r="AB194" s="40">
        <v>9105</v>
      </c>
      <c r="AC194" s="40">
        <v>9105</v>
      </c>
      <c r="AD194" s="34"/>
    </row>
  </sheetData>
  <mergeCells count="6">
    <mergeCell ref="Z3:AD3"/>
    <mergeCell ref="C3:C4"/>
    <mergeCell ref="F3:J3"/>
    <mergeCell ref="K3:O3"/>
    <mergeCell ref="P3:T3"/>
    <mergeCell ref="U3:Y3"/>
  </mergeCells>
  <pageMargins left="0.7" right="0.7" top="0.75" bottom="0.75" header="0.3" footer="0.3"/>
  <ignoredErrors>
    <ignoredError sqref="T7:T26" formulaRange="1"/>
    <ignoredError sqref="T29:T66" formulaRange="1"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4E438-EA93-4CEA-B531-1E553C399B8D}">
  <dimension ref="C3:AJ161"/>
  <sheetViews>
    <sheetView showGridLines="0" zoomScaleNormal="100" workbookViewId="0">
      <pane xSplit="3" ySplit="4" topLeftCell="D5" activePane="bottomRight" state="frozen"/>
      <selection pane="topRight" activeCell="D1" sqref="D1"/>
      <selection pane="bottomLeft" activeCell="A5" sqref="A5"/>
      <selection pane="bottomRight" activeCell="J2" sqref="J2"/>
    </sheetView>
  </sheetViews>
  <sheetFormatPr defaultColWidth="8.7109375" defaultRowHeight="12.75" x14ac:dyDescent="0.2"/>
  <cols>
    <col min="1" max="2" width="2.5703125" style="17" customWidth="1"/>
    <col min="3" max="3" width="45.28515625" style="17" bestFit="1" customWidth="1"/>
    <col min="4" max="4" width="8.5703125" style="20" customWidth="1"/>
    <col min="5" max="5" width="11.85546875" style="20" customWidth="1"/>
    <col min="6" max="18" width="8.5703125" style="20" customWidth="1"/>
    <col min="19" max="34" width="10.5703125" style="20" customWidth="1"/>
    <col min="35" max="36" width="8.7109375" style="21"/>
    <col min="37" max="16384" width="8.7109375" style="17"/>
  </cols>
  <sheetData>
    <row r="3" spans="3:36" ht="15" customHeight="1" thickBot="1" x14ac:dyDescent="0.25">
      <c r="C3" s="237" t="s">
        <v>96</v>
      </c>
      <c r="D3" s="25" t="s">
        <v>99</v>
      </c>
      <c r="E3" s="25" t="s">
        <v>100</v>
      </c>
      <c r="F3" s="234" t="s">
        <v>101</v>
      </c>
      <c r="G3" s="235"/>
      <c r="H3" s="235"/>
      <c r="I3" s="235"/>
      <c r="J3" s="236"/>
      <c r="K3" s="234" t="s">
        <v>102</v>
      </c>
      <c r="L3" s="235"/>
      <c r="M3" s="235"/>
      <c r="N3" s="235"/>
      <c r="O3" s="236"/>
      <c r="P3" s="234" t="s">
        <v>103</v>
      </c>
      <c r="Q3" s="235"/>
      <c r="R3" s="235"/>
      <c r="S3" s="235"/>
      <c r="T3" s="236"/>
      <c r="U3" s="234" t="s">
        <v>104</v>
      </c>
      <c r="V3" s="235"/>
      <c r="W3" s="235"/>
      <c r="X3" s="235"/>
      <c r="Y3" s="236"/>
      <c r="Z3" s="234" t="s">
        <v>105</v>
      </c>
      <c r="AA3" s="235"/>
      <c r="AB3" s="235"/>
      <c r="AC3" s="235"/>
      <c r="AD3" s="236"/>
    </row>
    <row r="4" spans="3:36" ht="13.5" thickBot="1" x14ac:dyDescent="0.25">
      <c r="C4" s="236"/>
      <c r="D4" s="26" t="s">
        <v>97</v>
      </c>
      <c r="E4" s="26" t="s">
        <v>97</v>
      </c>
      <c r="F4" s="27">
        <v>44256</v>
      </c>
      <c r="G4" s="27">
        <v>44348</v>
      </c>
      <c r="H4" s="27">
        <v>44440</v>
      </c>
      <c r="I4" s="27">
        <v>44531</v>
      </c>
      <c r="J4" s="26" t="s">
        <v>97</v>
      </c>
      <c r="K4" s="27">
        <v>44621</v>
      </c>
      <c r="L4" s="27">
        <v>44713</v>
      </c>
      <c r="M4" s="27">
        <v>44805</v>
      </c>
      <c r="N4" s="27">
        <v>44896</v>
      </c>
      <c r="O4" s="26" t="s">
        <v>97</v>
      </c>
      <c r="P4" s="27">
        <v>44986</v>
      </c>
      <c r="Q4" s="27">
        <v>45078</v>
      </c>
      <c r="R4" s="27">
        <v>45170</v>
      </c>
      <c r="S4" s="27">
        <v>45261</v>
      </c>
      <c r="T4" s="26" t="s">
        <v>97</v>
      </c>
      <c r="U4" s="27">
        <v>45352</v>
      </c>
      <c r="V4" s="27">
        <v>45444</v>
      </c>
      <c r="W4" s="27">
        <v>45536</v>
      </c>
      <c r="X4" s="27">
        <v>45627</v>
      </c>
      <c r="Y4" s="26" t="s">
        <v>97</v>
      </c>
      <c r="Z4" s="27">
        <v>45717</v>
      </c>
      <c r="AA4" s="27">
        <v>45809</v>
      </c>
      <c r="AB4" s="27">
        <v>45901</v>
      </c>
      <c r="AC4" s="27">
        <v>45992</v>
      </c>
      <c r="AD4" s="26" t="s">
        <v>97</v>
      </c>
    </row>
    <row r="5" spans="3:36" ht="5.0999999999999996" customHeight="1" x14ac:dyDescent="0.2">
      <c r="C5" s="28"/>
      <c r="D5" s="28"/>
      <c r="E5" s="29"/>
      <c r="F5" s="29"/>
      <c r="G5" s="29"/>
      <c r="H5" s="29"/>
      <c r="I5" s="29"/>
      <c r="J5" s="29"/>
      <c r="K5" s="29"/>
      <c r="L5" s="29"/>
      <c r="M5" s="29"/>
      <c r="N5" s="29"/>
      <c r="O5" s="29"/>
      <c r="P5" s="29"/>
      <c r="Q5" s="29"/>
      <c r="R5" s="29"/>
      <c r="S5" s="29"/>
      <c r="T5" s="29"/>
      <c r="U5" s="29"/>
      <c r="V5" s="29"/>
      <c r="W5" s="29"/>
    </row>
    <row r="6" spans="3:36" x14ac:dyDescent="0.2">
      <c r="C6" s="30" t="s">
        <v>98</v>
      </c>
      <c r="D6" s="31"/>
      <c r="E6" s="31"/>
      <c r="F6" s="31"/>
      <c r="G6" s="31"/>
      <c r="H6" s="31"/>
      <c r="I6" s="31"/>
      <c r="J6" s="31"/>
      <c r="K6" s="31"/>
      <c r="L6" s="31"/>
      <c r="M6" s="31"/>
      <c r="N6" s="31"/>
      <c r="O6" s="31"/>
      <c r="P6" s="31"/>
      <c r="Q6" s="31"/>
      <c r="R6" s="31"/>
      <c r="S6" s="31"/>
      <c r="T6" s="31"/>
      <c r="U6" s="31"/>
      <c r="V6" s="31"/>
      <c r="W6" s="31"/>
      <c r="X6" s="31"/>
      <c r="Y6" s="31"/>
      <c r="Z6" s="31"/>
      <c r="AA6" s="31"/>
      <c r="AB6" s="31"/>
      <c r="AC6" s="31"/>
      <c r="AD6" s="31"/>
    </row>
    <row r="7" spans="3:36" x14ac:dyDescent="0.2">
      <c r="C7" s="17" t="s">
        <v>74</v>
      </c>
      <c r="D7" s="34">
        <v>353.53399999999999</v>
      </c>
      <c r="E7" s="34">
        <v>316.31400000000002</v>
      </c>
      <c r="F7" s="34">
        <v>59.121000000000002</v>
      </c>
      <c r="G7" s="34">
        <v>62.915999999999997</v>
      </c>
      <c r="H7" s="34">
        <v>59.298000000000002</v>
      </c>
      <c r="I7" s="34">
        <v>65.12</v>
      </c>
      <c r="J7" s="34">
        <v>246.45500000000001</v>
      </c>
      <c r="K7" s="34">
        <v>66.537999999999997</v>
      </c>
      <c r="L7" s="34">
        <v>108.742</v>
      </c>
      <c r="M7" s="34">
        <v>136.494</v>
      </c>
      <c r="N7" s="34">
        <v>167.84499999999997</v>
      </c>
      <c r="O7" s="34">
        <v>479.61900000000003</v>
      </c>
      <c r="P7" s="34">
        <v>140.233</v>
      </c>
      <c r="Q7" s="34">
        <v>130.59899999999999</v>
      </c>
      <c r="R7" s="34">
        <v>136.947</v>
      </c>
      <c r="S7" s="40"/>
      <c r="T7" s="40"/>
      <c r="U7" s="40"/>
      <c r="V7" s="40"/>
      <c r="W7" s="40"/>
      <c r="X7" s="40"/>
      <c r="Y7" s="40"/>
      <c r="Z7" s="40"/>
      <c r="AA7" s="40"/>
      <c r="AB7" s="40"/>
      <c r="AC7" s="40"/>
      <c r="AD7" s="40"/>
    </row>
    <row r="8" spans="3:36" x14ac:dyDescent="0.2">
      <c r="C8" s="17" t="s">
        <v>76</v>
      </c>
      <c r="D8" s="34">
        <v>-95.201999999999998</v>
      </c>
      <c r="E8" s="34">
        <v>-58.537999999999997</v>
      </c>
      <c r="F8" s="34">
        <v>-16.364999999999998</v>
      </c>
      <c r="G8" s="34">
        <v>-16.780999999999999</v>
      </c>
      <c r="H8" s="34">
        <v>-17.192</v>
      </c>
      <c r="I8" s="34">
        <v>-22.030999999999999</v>
      </c>
      <c r="J8" s="34">
        <v>-72.369</v>
      </c>
      <c r="K8" s="34">
        <v>-23.716999999999999</v>
      </c>
      <c r="L8" s="34">
        <v>-35.956000000000003</v>
      </c>
      <c r="M8" s="34">
        <v>-42.320999999999998</v>
      </c>
      <c r="N8" s="34">
        <v>-47.667000000000002</v>
      </c>
      <c r="O8" s="34">
        <v>-149.661</v>
      </c>
      <c r="P8" s="34">
        <v>-33.966999999999999</v>
      </c>
      <c r="Q8" s="34">
        <v>-33.371000000000002</v>
      </c>
      <c r="R8" s="34">
        <v>-38.646000000000001</v>
      </c>
      <c r="S8" s="40"/>
      <c r="T8" s="40"/>
      <c r="U8" s="40"/>
      <c r="V8" s="40"/>
      <c r="W8" s="40"/>
      <c r="X8" s="40"/>
      <c r="Y8" s="40"/>
      <c r="Z8" s="40"/>
      <c r="AA8" s="40"/>
      <c r="AB8" s="40"/>
      <c r="AC8" s="40"/>
      <c r="AD8" s="40"/>
    </row>
    <row r="9" spans="3:36" x14ac:dyDescent="0.2">
      <c r="C9" s="32" t="s">
        <v>77</v>
      </c>
      <c r="D9" s="33">
        <f t="shared" ref="D9:AD9" si="0">SUM(D7:D8)</f>
        <v>258.33199999999999</v>
      </c>
      <c r="E9" s="33">
        <f t="shared" si="0"/>
        <v>257.77600000000001</v>
      </c>
      <c r="F9" s="33">
        <f t="shared" si="0"/>
        <v>42.756</v>
      </c>
      <c r="G9" s="33">
        <f t="shared" si="0"/>
        <v>46.134999999999998</v>
      </c>
      <c r="H9" s="33">
        <f t="shared" si="0"/>
        <v>42.106000000000002</v>
      </c>
      <c r="I9" s="33">
        <f t="shared" si="0"/>
        <v>43.089000000000006</v>
      </c>
      <c r="J9" s="33">
        <f t="shared" si="0"/>
        <v>174.08600000000001</v>
      </c>
      <c r="K9" s="33">
        <f t="shared" si="0"/>
        <v>42.820999999999998</v>
      </c>
      <c r="L9" s="33">
        <f t="shared" si="0"/>
        <v>72.786000000000001</v>
      </c>
      <c r="M9" s="33">
        <f t="shared" si="0"/>
        <v>94.173000000000002</v>
      </c>
      <c r="N9" s="33">
        <f t="shared" si="0"/>
        <v>120.17799999999997</v>
      </c>
      <c r="O9" s="33">
        <f t="shared" si="0"/>
        <v>329.95800000000003</v>
      </c>
      <c r="P9" s="33">
        <f t="shared" si="0"/>
        <v>106.26600000000001</v>
      </c>
      <c r="Q9" s="33">
        <f t="shared" si="0"/>
        <v>97.22799999999998</v>
      </c>
      <c r="R9" s="33">
        <f t="shared" si="0"/>
        <v>98.301000000000002</v>
      </c>
      <c r="S9" s="33">
        <f t="shared" si="0"/>
        <v>0</v>
      </c>
      <c r="T9" s="33">
        <f t="shared" si="0"/>
        <v>0</v>
      </c>
      <c r="U9" s="33">
        <f t="shared" si="0"/>
        <v>0</v>
      </c>
      <c r="V9" s="33">
        <f t="shared" si="0"/>
        <v>0</v>
      </c>
      <c r="W9" s="33">
        <f t="shared" si="0"/>
        <v>0</v>
      </c>
      <c r="X9" s="33">
        <f t="shared" si="0"/>
        <v>0</v>
      </c>
      <c r="Y9" s="33">
        <f t="shared" si="0"/>
        <v>0</v>
      </c>
      <c r="Z9" s="33">
        <f t="shared" si="0"/>
        <v>0</v>
      </c>
      <c r="AA9" s="33">
        <f t="shared" si="0"/>
        <v>0</v>
      </c>
      <c r="AB9" s="33">
        <f t="shared" si="0"/>
        <v>0</v>
      </c>
      <c r="AC9" s="33">
        <f t="shared" si="0"/>
        <v>0</v>
      </c>
      <c r="AD9" s="33">
        <f t="shared" si="0"/>
        <v>0</v>
      </c>
    </row>
    <row r="10" spans="3:36" ht="5.0999999999999996" customHeight="1" x14ac:dyDescent="0.2">
      <c r="C10" s="18"/>
      <c r="D10" s="35"/>
      <c r="E10" s="35"/>
      <c r="F10" s="35"/>
      <c r="G10" s="35"/>
      <c r="H10" s="35"/>
      <c r="I10" s="35"/>
      <c r="J10" s="35"/>
      <c r="K10" s="35"/>
      <c r="L10" s="35"/>
      <c r="M10" s="35"/>
      <c r="N10" s="35"/>
      <c r="O10" s="35"/>
      <c r="P10" s="35"/>
      <c r="Q10" s="35"/>
      <c r="R10" s="35"/>
    </row>
    <row r="11" spans="3:36" x14ac:dyDescent="0.2">
      <c r="C11" s="17" t="s">
        <v>363</v>
      </c>
      <c r="D11" s="34">
        <v>0</v>
      </c>
      <c r="E11" s="34">
        <v>0</v>
      </c>
      <c r="F11" s="34">
        <v>0</v>
      </c>
      <c r="G11" s="34">
        <v>0</v>
      </c>
      <c r="H11" s="34">
        <v>0</v>
      </c>
      <c r="I11" s="34">
        <v>0.88800000000000001</v>
      </c>
      <c r="J11" s="34">
        <v>0.88800000000000001</v>
      </c>
      <c r="K11" s="34">
        <v>1.1859999999999999</v>
      </c>
      <c r="L11" s="34">
        <v>1.2</v>
      </c>
      <c r="M11" s="34">
        <v>1.2130000000000001</v>
      </c>
      <c r="N11" s="34">
        <v>1.2130000000000001</v>
      </c>
      <c r="O11" s="34">
        <v>4.8120000000000003</v>
      </c>
      <c r="P11" s="34">
        <v>1.1970000000000001</v>
      </c>
      <c r="Q11" s="34">
        <v>1.2150000000000001</v>
      </c>
      <c r="R11" s="34">
        <v>1.228</v>
      </c>
      <c r="S11" s="40"/>
      <c r="T11" s="40"/>
      <c r="U11" s="40"/>
      <c r="V11" s="40"/>
      <c r="W11" s="40"/>
      <c r="X11" s="40"/>
      <c r="Y11" s="40"/>
      <c r="Z11" s="40"/>
      <c r="AA11" s="40"/>
      <c r="AB11" s="40"/>
      <c r="AC11" s="40"/>
      <c r="AD11" s="40"/>
    </row>
    <row r="12" spans="3:36" s="20" customFormat="1" x14ac:dyDescent="0.2">
      <c r="C12" s="17" t="s">
        <v>364</v>
      </c>
      <c r="D12" s="34">
        <v>-31.75</v>
      </c>
      <c r="E12" s="34">
        <v>-13.961</v>
      </c>
      <c r="F12" s="34">
        <v>-0.25900000000000001</v>
      </c>
      <c r="G12" s="34">
        <v>-1.361</v>
      </c>
      <c r="H12" s="34">
        <v>-0.89500000000000002</v>
      </c>
      <c r="I12" s="34">
        <v>-0.87999999999999989</v>
      </c>
      <c r="J12" s="34">
        <v>-3.395</v>
      </c>
      <c r="K12" s="34">
        <v>-1.206</v>
      </c>
      <c r="L12" s="34">
        <v>-0.51500000000000001</v>
      </c>
      <c r="M12" s="34">
        <v>-1.1879999999999999</v>
      </c>
      <c r="N12" s="34">
        <v>-0.34100000000000019</v>
      </c>
      <c r="O12" s="34">
        <v>-3.25</v>
      </c>
      <c r="P12" s="34">
        <v>-2.7E-2</v>
      </c>
      <c r="Q12" s="34">
        <v>0</v>
      </c>
      <c r="R12" s="34">
        <v>0</v>
      </c>
      <c r="S12" s="40"/>
      <c r="T12" s="40"/>
      <c r="U12" s="40"/>
      <c r="V12" s="40"/>
      <c r="W12" s="40"/>
      <c r="X12" s="40"/>
      <c r="Y12" s="40"/>
      <c r="Z12" s="40"/>
      <c r="AA12" s="40"/>
      <c r="AB12" s="40"/>
      <c r="AC12" s="40"/>
      <c r="AD12" s="40"/>
      <c r="AI12" s="21"/>
      <c r="AJ12" s="21"/>
    </row>
    <row r="13" spans="3:36" s="20" customFormat="1" x14ac:dyDescent="0.2">
      <c r="C13" s="17" t="s">
        <v>365</v>
      </c>
      <c r="D13" s="34">
        <v>-108.325</v>
      </c>
      <c r="E13" s="34">
        <v>-102.387</v>
      </c>
      <c r="F13" s="34">
        <v>-24.477</v>
      </c>
      <c r="G13" s="34">
        <v>-21.713999999999999</v>
      </c>
      <c r="H13" s="34">
        <v>-22.564</v>
      </c>
      <c r="I13" s="34">
        <v>-22.352000000000004</v>
      </c>
      <c r="J13" s="34">
        <v>-91.106999999999999</v>
      </c>
      <c r="K13" s="34">
        <v>-21.129000000000001</v>
      </c>
      <c r="L13" s="34">
        <v>-21.012</v>
      </c>
      <c r="M13" s="34">
        <v>-20.199000000000002</v>
      </c>
      <c r="N13" s="34">
        <v>-23.812000000000001</v>
      </c>
      <c r="O13" s="34">
        <v>-86.152000000000001</v>
      </c>
      <c r="P13" s="34">
        <v>-24.427</v>
      </c>
      <c r="Q13" s="34">
        <v>-23.561</v>
      </c>
      <c r="R13" s="34">
        <v>-21.402999999999999</v>
      </c>
      <c r="S13" s="40"/>
      <c r="T13" s="40"/>
      <c r="U13" s="40"/>
      <c r="V13" s="40"/>
      <c r="W13" s="40"/>
      <c r="X13" s="40"/>
      <c r="Y13" s="40"/>
      <c r="Z13" s="40"/>
      <c r="AA13" s="40"/>
      <c r="AB13" s="40"/>
      <c r="AC13" s="40"/>
      <c r="AD13" s="40"/>
      <c r="AI13" s="21"/>
      <c r="AJ13" s="21"/>
    </row>
    <row r="14" spans="3:36" s="20" customFormat="1" x14ac:dyDescent="0.2">
      <c r="C14" s="17" t="s">
        <v>80</v>
      </c>
      <c r="D14" s="34">
        <v>-11.989000000000001</v>
      </c>
      <c r="E14" s="34">
        <v>-12.856999999999999</v>
      </c>
      <c r="F14" s="34">
        <v>-3.34</v>
      </c>
      <c r="G14" s="34">
        <v>-3.65</v>
      </c>
      <c r="H14" s="34">
        <v>-3.238</v>
      </c>
      <c r="I14" s="34">
        <v>-3.7780000000000005</v>
      </c>
      <c r="J14" s="34">
        <v>-14.006</v>
      </c>
      <c r="K14" s="34">
        <v>-3.3780000000000001</v>
      </c>
      <c r="L14" s="34">
        <v>-3.4620000000000002</v>
      </c>
      <c r="M14" s="34">
        <v>-4.4139999999999997</v>
      </c>
      <c r="N14" s="34">
        <v>-4.2900000000000009</v>
      </c>
      <c r="O14" s="34">
        <v>-15.544</v>
      </c>
      <c r="P14" s="34">
        <v>-4.22</v>
      </c>
      <c r="Q14" s="34">
        <v>-7.0960000000000001</v>
      </c>
      <c r="R14" s="34">
        <v>-7.13</v>
      </c>
      <c r="S14" s="40"/>
      <c r="T14" s="40"/>
      <c r="U14" s="40"/>
      <c r="V14" s="40"/>
      <c r="W14" s="40"/>
      <c r="X14" s="40"/>
      <c r="Y14" s="40"/>
      <c r="Z14" s="40"/>
      <c r="AA14" s="40"/>
      <c r="AB14" s="40"/>
      <c r="AC14" s="40"/>
      <c r="AD14" s="40"/>
      <c r="AI14" s="21"/>
      <c r="AJ14" s="21"/>
    </row>
    <row r="15" spans="3:36" s="20" customFormat="1" x14ac:dyDescent="0.2">
      <c r="C15" s="17" t="s">
        <v>366</v>
      </c>
      <c r="D15" s="34">
        <v>-2.0419999999999998</v>
      </c>
      <c r="E15" s="34">
        <v>-1.3029999999999999</v>
      </c>
      <c r="F15" s="34">
        <v>-0.52800000000000002</v>
      </c>
      <c r="G15" s="34">
        <v>-0.54500000000000004</v>
      </c>
      <c r="H15" s="34">
        <v>-0.53800000000000003</v>
      </c>
      <c r="I15" s="34">
        <v>-0.53300000000000014</v>
      </c>
      <c r="J15" s="34">
        <v>-2.1440000000000001</v>
      </c>
      <c r="K15" s="34">
        <v>-0.52100000000000002</v>
      </c>
      <c r="L15" s="34">
        <v>-0.52700000000000002</v>
      </c>
      <c r="M15" s="34">
        <v>-0.51300000000000001</v>
      </c>
      <c r="N15" s="34">
        <v>-1.6510000000000002</v>
      </c>
      <c r="O15" s="34">
        <v>-3.2120000000000002</v>
      </c>
      <c r="P15" s="34">
        <v>-2.379</v>
      </c>
      <c r="Q15" s="34">
        <v>-1.4470000000000001</v>
      </c>
      <c r="R15" s="34">
        <v>-0.59899999999999998</v>
      </c>
      <c r="S15" s="40"/>
      <c r="T15" s="40"/>
      <c r="U15" s="40"/>
      <c r="V15" s="40"/>
      <c r="W15" s="40"/>
      <c r="X15" s="40"/>
      <c r="Y15" s="40"/>
      <c r="Z15" s="40"/>
      <c r="AA15" s="40"/>
      <c r="AB15" s="40"/>
      <c r="AC15" s="40"/>
      <c r="AD15" s="40"/>
      <c r="AI15" s="21"/>
      <c r="AJ15" s="21"/>
    </row>
    <row r="16" spans="3:36" s="20" customFormat="1" x14ac:dyDescent="0.2">
      <c r="C16" s="32" t="s">
        <v>82</v>
      </c>
      <c r="D16" s="33">
        <f t="shared" ref="D16:AD16" si="1">+D9+SUM(D11:D15)</f>
        <v>104.226</v>
      </c>
      <c r="E16" s="33">
        <f t="shared" si="1"/>
        <v>127.26800000000003</v>
      </c>
      <c r="F16" s="33">
        <f t="shared" si="1"/>
        <v>14.152000000000001</v>
      </c>
      <c r="G16" s="33">
        <f t="shared" si="1"/>
        <v>18.864999999999998</v>
      </c>
      <c r="H16" s="33">
        <f t="shared" si="1"/>
        <v>14.871000000000002</v>
      </c>
      <c r="I16" s="33">
        <f t="shared" si="1"/>
        <v>16.433999999999997</v>
      </c>
      <c r="J16" s="33">
        <f t="shared" si="1"/>
        <v>64.322000000000003</v>
      </c>
      <c r="K16" s="33">
        <f t="shared" si="1"/>
        <v>17.772999999999996</v>
      </c>
      <c r="L16" s="33">
        <f t="shared" si="1"/>
        <v>48.47</v>
      </c>
      <c r="M16" s="33">
        <f t="shared" si="1"/>
        <v>69.072000000000003</v>
      </c>
      <c r="N16" s="33">
        <f t="shared" si="1"/>
        <v>91.296999999999969</v>
      </c>
      <c r="O16" s="33">
        <f t="shared" si="1"/>
        <v>226.61200000000002</v>
      </c>
      <c r="P16" s="33">
        <f t="shared" si="1"/>
        <v>76.410000000000011</v>
      </c>
      <c r="Q16" s="33">
        <f t="shared" si="1"/>
        <v>66.338999999999984</v>
      </c>
      <c r="R16" s="33">
        <f t="shared" si="1"/>
        <v>70.397000000000006</v>
      </c>
      <c r="S16" s="33">
        <f t="shared" si="1"/>
        <v>0</v>
      </c>
      <c r="T16" s="33">
        <f t="shared" si="1"/>
        <v>0</v>
      </c>
      <c r="U16" s="33">
        <f t="shared" si="1"/>
        <v>0</v>
      </c>
      <c r="V16" s="33">
        <f t="shared" si="1"/>
        <v>0</v>
      </c>
      <c r="W16" s="33">
        <f t="shared" si="1"/>
        <v>0</v>
      </c>
      <c r="X16" s="33">
        <f t="shared" si="1"/>
        <v>0</v>
      </c>
      <c r="Y16" s="33">
        <f t="shared" si="1"/>
        <v>0</v>
      </c>
      <c r="Z16" s="33">
        <f t="shared" si="1"/>
        <v>0</v>
      </c>
      <c r="AA16" s="33">
        <f t="shared" si="1"/>
        <v>0</v>
      </c>
      <c r="AB16" s="33">
        <f t="shared" si="1"/>
        <v>0</v>
      </c>
      <c r="AC16" s="33">
        <f t="shared" si="1"/>
        <v>0</v>
      </c>
      <c r="AD16" s="33">
        <f t="shared" si="1"/>
        <v>0</v>
      </c>
      <c r="AI16" s="21"/>
      <c r="AJ16" s="21"/>
    </row>
    <row r="17" spans="3:36" ht="5.0999999999999996" customHeight="1" x14ac:dyDescent="0.2">
      <c r="C17" s="18"/>
      <c r="D17" s="35"/>
      <c r="E17" s="35"/>
      <c r="F17" s="35"/>
      <c r="G17" s="35"/>
      <c r="H17" s="35"/>
      <c r="I17" s="35"/>
      <c r="J17" s="35"/>
      <c r="K17" s="35"/>
      <c r="L17" s="35"/>
      <c r="M17" s="35"/>
      <c r="N17" s="35"/>
      <c r="O17" s="35"/>
      <c r="P17" s="35"/>
      <c r="Q17" s="35"/>
      <c r="R17" s="35"/>
    </row>
    <row r="18" spans="3:36" s="19" customFormat="1" x14ac:dyDescent="0.2">
      <c r="C18" s="19" t="s">
        <v>367</v>
      </c>
      <c r="D18" s="36">
        <v>-58.597000000000001</v>
      </c>
      <c r="E18" s="36">
        <v>-71.745000000000005</v>
      </c>
      <c r="F18" s="36">
        <v>-16.428000000000001</v>
      </c>
      <c r="G18" s="36">
        <v>-16.202999999999999</v>
      </c>
      <c r="H18" s="36">
        <v>-22.190999999999999</v>
      </c>
      <c r="I18" s="36">
        <v>-16.402000000000001</v>
      </c>
      <c r="J18" s="36">
        <v>-71.224000000000004</v>
      </c>
      <c r="K18" s="36">
        <v>-17.483000000000001</v>
      </c>
      <c r="L18" s="36">
        <v>-15.045</v>
      </c>
      <c r="M18" s="36">
        <v>-14.837</v>
      </c>
      <c r="N18" s="36">
        <v>-13.568999999999992</v>
      </c>
      <c r="O18" s="36">
        <v>-60.933999999999997</v>
      </c>
      <c r="P18" s="36">
        <v>-15.807</v>
      </c>
      <c r="Q18" s="36">
        <v>-14.682</v>
      </c>
      <c r="R18" s="36">
        <v>-15.869</v>
      </c>
      <c r="S18" s="40"/>
      <c r="T18" s="40"/>
      <c r="U18" s="40"/>
      <c r="V18" s="40"/>
      <c r="W18" s="40"/>
      <c r="X18" s="40"/>
      <c r="Y18" s="40"/>
      <c r="Z18" s="40"/>
      <c r="AA18" s="40"/>
      <c r="AB18" s="40"/>
      <c r="AC18" s="40"/>
      <c r="AD18" s="40"/>
      <c r="AE18" s="22"/>
      <c r="AF18" s="22"/>
      <c r="AG18" s="22"/>
      <c r="AH18" s="22"/>
      <c r="AI18" s="23"/>
      <c r="AJ18" s="23"/>
    </row>
    <row r="19" spans="3:36" x14ac:dyDescent="0.2">
      <c r="C19" s="17" t="s">
        <v>368</v>
      </c>
      <c r="D19" s="34">
        <v>-30.603999999999999</v>
      </c>
      <c r="E19" s="34">
        <v>0</v>
      </c>
      <c r="F19" s="34">
        <v>0</v>
      </c>
      <c r="G19" s="34">
        <v>0</v>
      </c>
      <c r="H19" s="34">
        <v>0</v>
      </c>
      <c r="I19" s="34">
        <v>0</v>
      </c>
      <c r="J19" s="34">
        <v>0</v>
      </c>
      <c r="K19" s="34">
        <v>0</v>
      </c>
      <c r="L19" s="34">
        <v>0</v>
      </c>
      <c r="M19" s="34">
        <v>0</v>
      </c>
      <c r="N19" s="34">
        <v>0</v>
      </c>
      <c r="O19" s="34">
        <v>0</v>
      </c>
      <c r="P19" s="34">
        <v>0</v>
      </c>
      <c r="Q19" s="34">
        <v>0</v>
      </c>
      <c r="R19" s="34">
        <v>0</v>
      </c>
      <c r="S19" s="40"/>
      <c r="T19" s="40"/>
      <c r="U19" s="40"/>
      <c r="V19" s="40"/>
      <c r="W19" s="40"/>
      <c r="X19" s="40"/>
      <c r="Y19" s="40"/>
      <c r="Z19" s="40"/>
      <c r="AA19" s="40"/>
      <c r="AB19" s="40"/>
      <c r="AC19" s="40"/>
      <c r="AD19" s="40"/>
    </row>
    <row r="20" spans="3:36" x14ac:dyDescent="0.2">
      <c r="C20" s="17" t="s">
        <v>369</v>
      </c>
      <c r="D20" s="34">
        <v>0.82299999999999995</v>
      </c>
      <c r="E20" s="34">
        <v>1.2350000000000001</v>
      </c>
      <c r="F20" s="34">
        <v>0.77300000000000002</v>
      </c>
      <c r="G20" s="34">
        <v>0.433</v>
      </c>
      <c r="H20" s="34">
        <v>1.117</v>
      </c>
      <c r="I20" s="34">
        <v>-0.27499999999999991</v>
      </c>
      <c r="J20" s="34">
        <v>2.048</v>
      </c>
      <c r="K20" s="34">
        <v>0.57299999999999995</v>
      </c>
      <c r="L20" s="34">
        <v>0.32</v>
      </c>
      <c r="M20" s="34">
        <v>-0.19700000000000001</v>
      </c>
      <c r="N20" s="34">
        <v>2.1060000000000003</v>
      </c>
      <c r="O20" s="34">
        <v>2.802</v>
      </c>
      <c r="P20" s="34">
        <v>1.17</v>
      </c>
      <c r="Q20" s="34">
        <v>1.208</v>
      </c>
      <c r="R20" s="34">
        <v>1.147</v>
      </c>
      <c r="S20" s="40"/>
      <c r="T20" s="40"/>
      <c r="U20" s="40"/>
      <c r="V20" s="40"/>
      <c r="W20" s="40"/>
      <c r="X20" s="40"/>
      <c r="Y20" s="40"/>
      <c r="Z20" s="40"/>
      <c r="AA20" s="40"/>
      <c r="AB20" s="40"/>
      <c r="AC20" s="40"/>
      <c r="AD20" s="40"/>
    </row>
    <row r="21" spans="3:36" x14ac:dyDescent="0.2">
      <c r="C21" s="17" t="s">
        <v>370</v>
      </c>
      <c r="D21" s="34">
        <v>-44.968000000000004</v>
      </c>
      <c r="E21" s="34">
        <v>-39.865000000000002</v>
      </c>
      <c r="F21" s="34">
        <v>-8.1940000000000008</v>
      </c>
      <c r="G21" s="34">
        <v>-8.4160000000000004</v>
      </c>
      <c r="H21" s="34">
        <v>-7.5519999999999996</v>
      </c>
      <c r="I21" s="34">
        <v>-7.8000000000000007</v>
      </c>
      <c r="J21" s="34">
        <v>-31.962</v>
      </c>
      <c r="K21" s="34">
        <v>-7.218</v>
      </c>
      <c r="L21" s="34">
        <v>-8.0640000000000001</v>
      </c>
      <c r="M21" s="34">
        <v>-10.321</v>
      </c>
      <c r="N21" s="34">
        <v>-7.6050000000000004</v>
      </c>
      <c r="O21" s="34">
        <v>-33.207999999999998</v>
      </c>
      <c r="P21" s="34">
        <v>-7.38</v>
      </c>
      <c r="Q21" s="34">
        <v>-6.8280000000000003</v>
      </c>
      <c r="R21" s="34">
        <v>-6.6109999999999998</v>
      </c>
      <c r="S21" s="40"/>
      <c r="T21" s="40"/>
      <c r="U21" s="40"/>
      <c r="V21" s="40"/>
      <c r="W21" s="40"/>
      <c r="X21" s="40"/>
      <c r="Y21" s="40"/>
      <c r="Z21" s="40"/>
      <c r="AA21" s="40"/>
      <c r="AB21" s="40"/>
      <c r="AC21" s="40"/>
      <c r="AD21" s="40"/>
    </row>
    <row r="22" spans="3:36" x14ac:dyDescent="0.2">
      <c r="C22" s="17" t="s">
        <v>371</v>
      </c>
      <c r="D22" s="34">
        <v>1.2430000000000001</v>
      </c>
      <c r="E22" s="34">
        <v>0</v>
      </c>
      <c r="F22" s="34">
        <v>0</v>
      </c>
      <c r="G22" s="34">
        <v>0</v>
      </c>
      <c r="H22" s="34">
        <v>0</v>
      </c>
      <c r="I22" s="34">
        <v>0</v>
      </c>
      <c r="J22" s="34">
        <v>0</v>
      </c>
      <c r="K22" s="34">
        <v>0</v>
      </c>
      <c r="L22" s="34">
        <v>0</v>
      </c>
      <c r="M22" s="34">
        <v>0</v>
      </c>
      <c r="N22" s="34">
        <v>0</v>
      </c>
      <c r="O22" s="34">
        <v>0</v>
      </c>
      <c r="P22" s="34">
        <v>0</v>
      </c>
      <c r="Q22" s="34">
        <v>0</v>
      </c>
      <c r="R22" s="34">
        <v>0</v>
      </c>
      <c r="S22" s="40"/>
      <c r="T22" s="40"/>
      <c r="U22" s="40"/>
      <c r="V22" s="40"/>
      <c r="W22" s="40"/>
      <c r="X22" s="40"/>
      <c r="Y22" s="40"/>
      <c r="Z22" s="40"/>
      <c r="AA22" s="40"/>
      <c r="AB22" s="40"/>
      <c r="AC22" s="40"/>
      <c r="AD22" s="40"/>
    </row>
    <row r="23" spans="3:36" x14ac:dyDescent="0.2">
      <c r="C23" s="17" t="s">
        <v>372</v>
      </c>
      <c r="D23" s="34">
        <v>0.93400000000000005</v>
      </c>
      <c r="E23" s="34">
        <v>0</v>
      </c>
      <c r="F23" s="34">
        <v>0</v>
      </c>
      <c r="G23" s="34">
        <v>0</v>
      </c>
      <c r="H23" s="34">
        <v>0</v>
      </c>
      <c r="I23" s="34">
        <v>0</v>
      </c>
      <c r="J23" s="34">
        <v>0</v>
      </c>
      <c r="K23" s="34">
        <v>0</v>
      </c>
      <c r="L23" s="34">
        <v>0</v>
      </c>
      <c r="M23" s="34">
        <v>0</v>
      </c>
      <c r="N23" s="34">
        <v>0</v>
      </c>
      <c r="O23" s="34">
        <v>0</v>
      </c>
      <c r="P23" s="34">
        <v>0</v>
      </c>
      <c r="Q23" s="34">
        <v>0</v>
      </c>
      <c r="R23" s="34">
        <v>0</v>
      </c>
      <c r="S23" s="40"/>
      <c r="T23" s="40"/>
      <c r="U23" s="40"/>
      <c r="V23" s="40"/>
      <c r="W23" s="40"/>
      <c r="X23" s="40"/>
      <c r="Y23" s="40"/>
      <c r="Z23" s="40"/>
      <c r="AA23" s="40"/>
      <c r="AB23" s="40"/>
      <c r="AC23" s="40"/>
      <c r="AD23" s="40"/>
    </row>
    <row r="24" spans="3:36" x14ac:dyDescent="0.2">
      <c r="C24" s="17" t="s">
        <v>373</v>
      </c>
      <c r="D24" s="34">
        <v>0</v>
      </c>
      <c r="E24" s="34">
        <v>-7.0000000000000007E-2</v>
      </c>
      <c r="F24" s="34">
        <v>0</v>
      </c>
      <c r="G24" s="34">
        <v>0</v>
      </c>
      <c r="H24" s="34">
        <v>0</v>
      </c>
      <c r="I24" s="34">
        <v>0</v>
      </c>
      <c r="J24" s="34">
        <v>0</v>
      </c>
      <c r="K24" s="34">
        <v>0</v>
      </c>
      <c r="L24" s="34">
        <v>0</v>
      </c>
      <c r="M24" s="34">
        <v>0</v>
      </c>
      <c r="N24" s="34">
        <v>0</v>
      </c>
      <c r="O24" s="34">
        <v>0</v>
      </c>
      <c r="P24" s="34">
        <v>0</v>
      </c>
      <c r="Q24" s="34">
        <v>0</v>
      </c>
      <c r="R24" s="34">
        <v>0</v>
      </c>
      <c r="S24" s="40"/>
      <c r="T24" s="40"/>
      <c r="U24" s="40"/>
      <c r="V24" s="40"/>
      <c r="W24" s="40"/>
      <c r="X24" s="40"/>
      <c r="Y24" s="40"/>
      <c r="Z24" s="40"/>
      <c r="AA24" s="40"/>
      <c r="AB24" s="40"/>
      <c r="AC24" s="40"/>
      <c r="AD24" s="40"/>
    </row>
    <row r="25" spans="3:36" x14ac:dyDescent="0.2">
      <c r="C25" s="17" t="s">
        <v>91</v>
      </c>
      <c r="D25" s="34">
        <v>-0.58399999999999996</v>
      </c>
      <c r="E25" s="34">
        <v>-0.26700000000000002</v>
      </c>
      <c r="F25" s="34">
        <v>-7.0999999999999994E-2</v>
      </c>
      <c r="G25" s="34">
        <v>-0.09</v>
      </c>
      <c r="H25" s="34">
        <v>4.0000000000000001E-3</v>
      </c>
      <c r="I25" s="34">
        <v>-0.28800000000000003</v>
      </c>
      <c r="J25" s="34">
        <v>-0.44500000000000001</v>
      </c>
      <c r="K25" s="34">
        <v>-0.14099999999999999</v>
      </c>
      <c r="L25" s="34">
        <v>3.3000000000000002E-2</v>
      </c>
      <c r="M25" s="34">
        <v>-0.159</v>
      </c>
      <c r="N25" s="34">
        <v>-0.13600000000000004</v>
      </c>
      <c r="O25" s="34">
        <v>-0.40300000000000002</v>
      </c>
      <c r="P25" s="34">
        <v>-0.27700000000000002</v>
      </c>
      <c r="Q25" s="34">
        <v>-0.32</v>
      </c>
      <c r="R25" s="34">
        <v>-0.17799999999999999</v>
      </c>
      <c r="S25" s="40"/>
      <c r="T25" s="40"/>
      <c r="U25" s="40"/>
      <c r="V25" s="40"/>
      <c r="W25" s="40"/>
      <c r="X25" s="40"/>
      <c r="Y25" s="40"/>
      <c r="Z25" s="40"/>
      <c r="AA25" s="40"/>
      <c r="AB25" s="40"/>
      <c r="AC25" s="40"/>
      <c r="AD25" s="40"/>
    </row>
    <row r="26" spans="3:36" x14ac:dyDescent="0.2">
      <c r="C26" s="32" t="s">
        <v>92</v>
      </c>
      <c r="D26" s="33">
        <f t="shared" ref="D26:AD26" si="2">+SUM(D16,D18:D25)</f>
        <v>-27.527000000000005</v>
      </c>
      <c r="E26" s="33">
        <f t="shared" si="2"/>
        <v>16.556000000000022</v>
      </c>
      <c r="F26" s="33">
        <f t="shared" si="2"/>
        <v>-9.7680000000000007</v>
      </c>
      <c r="G26" s="33">
        <f t="shared" si="2"/>
        <v>-5.4110000000000014</v>
      </c>
      <c r="H26" s="33">
        <f t="shared" si="2"/>
        <v>-13.750999999999996</v>
      </c>
      <c r="I26" s="33">
        <f t="shared" si="2"/>
        <v>-8.3310000000000048</v>
      </c>
      <c r="J26" s="33">
        <f t="shared" si="2"/>
        <v>-37.261000000000003</v>
      </c>
      <c r="K26" s="33">
        <f t="shared" si="2"/>
        <v>-6.496000000000004</v>
      </c>
      <c r="L26" s="33">
        <f t="shared" si="2"/>
        <v>25.713999999999999</v>
      </c>
      <c r="M26" s="33">
        <f t="shared" si="2"/>
        <v>43.558</v>
      </c>
      <c r="N26" s="33">
        <f t="shared" si="2"/>
        <v>72.092999999999975</v>
      </c>
      <c r="O26" s="33">
        <f t="shared" si="2"/>
        <v>134.86900000000003</v>
      </c>
      <c r="P26" s="33">
        <f t="shared" si="2"/>
        <v>54.116000000000007</v>
      </c>
      <c r="Q26" s="33">
        <f t="shared" si="2"/>
        <v>45.716999999999977</v>
      </c>
      <c r="R26" s="33">
        <f t="shared" si="2"/>
        <v>48.88600000000001</v>
      </c>
      <c r="S26" s="33">
        <f t="shared" si="2"/>
        <v>0</v>
      </c>
      <c r="T26" s="33">
        <f t="shared" si="2"/>
        <v>0</v>
      </c>
      <c r="U26" s="33">
        <f t="shared" si="2"/>
        <v>0</v>
      </c>
      <c r="V26" s="33">
        <f t="shared" si="2"/>
        <v>0</v>
      </c>
      <c r="W26" s="33">
        <f t="shared" si="2"/>
        <v>0</v>
      </c>
      <c r="X26" s="33">
        <f t="shared" si="2"/>
        <v>0</v>
      </c>
      <c r="Y26" s="33">
        <f t="shared" si="2"/>
        <v>0</v>
      </c>
      <c r="Z26" s="33">
        <f t="shared" si="2"/>
        <v>0</v>
      </c>
      <c r="AA26" s="33">
        <f t="shared" si="2"/>
        <v>0</v>
      </c>
      <c r="AB26" s="33">
        <f t="shared" si="2"/>
        <v>0</v>
      </c>
      <c r="AC26" s="33">
        <f t="shared" si="2"/>
        <v>0</v>
      </c>
      <c r="AD26" s="33">
        <f t="shared" si="2"/>
        <v>0</v>
      </c>
    </row>
    <row r="27" spans="3:36" ht="5.0999999999999996" customHeight="1" x14ac:dyDescent="0.2">
      <c r="D27" s="37"/>
      <c r="E27" s="37"/>
      <c r="F27" s="37"/>
      <c r="G27" s="37"/>
      <c r="H27" s="37"/>
      <c r="I27" s="37"/>
      <c r="J27" s="37"/>
      <c r="K27" s="37"/>
      <c r="L27" s="37"/>
      <c r="M27" s="37"/>
      <c r="N27" s="37"/>
      <c r="O27" s="37"/>
      <c r="P27" s="37"/>
      <c r="Q27" s="37"/>
      <c r="R27" s="37"/>
    </row>
    <row r="28" spans="3:36" x14ac:dyDescent="0.2">
      <c r="C28" s="17" t="s">
        <v>374</v>
      </c>
      <c r="D28" s="36">
        <v>43.061999999999998</v>
      </c>
      <c r="E28" s="36">
        <v>69.522000000000006</v>
      </c>
      <c r="F28" s="36">
        <v>16.428000000000001</v>
      </c>
      <c r="G28" s="36">
        <v>16.202999999999999</v>
      </c>
      <c r="H28" s="36">
        <v>16.428000000000001</v>
      </c>
      <c r="I28" s="36">
        <v>15.743000000000009</v>
      </c>
      <c r="J28" s="36">
        <v>64.802000000000007</v>
      </c>
      <c r="K28" s="36">
        <v>15.403</v>
      </c>
      <c r="L28" s="36">
        <v>15.045</v>
      </c>
      <c r="M28" s="36">
        <v>14.837</v>
      </c>
      <c r="N28" s="36">
        <v>15.559999999999993</v>
      </c>
      <c r="O28" s="36">
        <v>60.844999999999999</v>
      </c>
      <c r="P28" s="36">
        <v>15.807</v>
      </c>
      <c r="Q28" s="36">
        <v>14.682</v>
      </c>
      <c r="R28" s="36">
        <v>15.869</v>
      </c>
      <c r="S28" s="40"/>
      <c r="T28" s="40"/>
      <c r="U28" s="40"/>
      <c r="V28" s="40"/>
      <c r="W28" s="40"/>
      <c r="X28" s="40"/>
      <c r="Y28" s="40"/>
      <c r="Z28" s="40"/>
      <c r="AA28" s="40"/>
      <c r="AB28" s="40"/>
      <c r="AC28" s="40"/>
      <c r="AD28" s="40"/>
    </row>
    <row r="29" spans="3:36" ht="12.95" customHeight="1" x14ac:dyDescent="0.2">
      <c r="C29" s="17" t="s">
        <v>375</v>
      </c>
      <c r="D29" s="36">
        <v>30.603999999999999</v>
      </c>
      <c r="E29" s="36">
        <v>0</v>
      </c>
      <c r="F29" s="36">
        <v>0</v>
      </c>
      <c r="G29" s="36">
        <v>0</v>
      </c>
      <c r="H29" s="36">
        <v>0</v>
      </c>
      <c r="I29" s="36">
        <v>0</v>
      </c>
      <c r="J29" s="36">
        <v>0</v>
      </c>
      <c r="K29" s="36">
        <v>0</v>
      </c>
      <c r="L29" s="36">
        <v>0</v>
      </c>
      <c r="M29" s="36">
        <v>0</v>
      </c>
      <c r="N29" s="36">
        <v>0</v>
      </c>
      <c r="O29" s="36">
        <v>0</v>
      </c>
      <c r="P29" s="36">
        <v>0</v>
      </c>
      <c r="Q29" s="36">
        <v>0</v>
      </c>
      <c r="R29" s="36">
        <v>0</v>
      </c>
      <c r="S29" s="40"/>
      <c r="T29" s="40"/>
      <c r="U29" s="40"/>
      <c r="V29" s="40"/>
      <c r="W29" s="40"/>
      <c r="X29" s="40"/>
      <c r="Y29" s="40"/>
      <c r="Z29" s="40"/>
      <c r="AA29" s="40"/>
      <c r="AB29" s="40"/>
      <c r="AC29" s="40"/>
      <c r="AD29" s="40"/>
    </row>
    <row r="30" spans="3:36" x14ac:dyDescent="0.2">
      <c r="C30" s="17" t="s">
        <v>376</v>
      </c>
      <c r="D30" s="36">
        <v>15.535</v>
      </c>
      <c r="E30" s="36">
        <v>2.2229999999999999</v>
      </c>
      <c r="F30" s="36">
        <v>0</v>
      </c>
      <c r="G30" s="36">
        <v>0</v>
      </c>
      <c r="H30" s="36">
        <v>5.7629999999999999</v>
      </c>
      <c r="I30" s="36">
        <v>0.65899999999999981</v>
      </c>
      <c r="J30" s="36">
        <v>6.4219999999999997</v>
      </c>
      <c r="K30" s="36">
        <v>2.08</v>
      </c>
      <c r="L30" s="36">
        <v>0</v>
      </c>
      <c r="M30" s="36">
        <v>0</v>
      </c>
      <c r="N30" s="36">
        <v>-1.9910000000000001</v>
      </c>
      <c r="O30" s="36">
        <v>8.8999999999999996E-2</v>
      </c>
      <c r="P30" s="36">
        <v>0</v>
      </c>
      <c r="Q30" s="36">
        <v>0</v>
      </c>
      <c r="R30" s="36">
        <v>0</v>
      </c>
      <c r="S30" s="40"/>
      <c r="T30" s="40"/>
      <c r="U30" s="40"/>
      <c r="V30" s="40"/>
      <c r="W30" s="40"/>
      <c r="X30" s="40"/>
      <c r="Y30" s="40"/>
      <c r="Z30" s="40"/>
      <c r="AA30" s="40"/>
      <c r="AB30" s="40"/>
      <c r="AC30" s="40"/>
      <c r="AD30" s="40"/>
    </row>
    <row r="31" spans="3:36" x14ac:dyDescent="0.2">
      <c r="C31" s="17" t="s">
        <v>377</v>
      </c>
      <c r="D31" s="36">
        <v>0.58399999999999996</v>
      </c>
      <c r="E31" s="36">
        <v>0.26700000000000002</v>
      </c>
      <c r="F31" s="36">
        <v>7.0999999999999994E-2</v>
      </c>
      <c r="G31" s="36">
        <v>0.09</v>
      </c>
      <c r="H31" s="36">
        <v>-4.0000000000000001E-3</v>
      </c>
      <c r="I31" s="36">
        <v>0.28800000000000003</v>
      </c>
      <c r="J31" s="36">
        <v>0.44500000000000001</v>
      </c>
      <c r="K31" s="36">
        <v>0.14099999999999999</v>
      </c>
      <c r="L31" s="36">
        <v>-3.3000000000000002E-2</v>
      </c>
      <c r="M31" s="36">
        <v>0.159</v>
      </c>
      <c r="N31" s="36">
        <v>0.13600000000000004</v>
      </c>
      <c r="O31" s="36">
        <v>0.40300000000000002</v>
      </c>
      <c r="P31" s="36">
        <v>0.27700000000000002</v>
      </c>
      <c r="Q31" s="36">
        <v>0.32</v>
      </c>
      <c r="R31" s="36">
        <v>0.17799999999999999</v>
      </c>
      <c r="S31" s="40"/>
      <c r="T31" s="40"/>
      <c r="U31" s="40"/>
      <c r="V31" s="40"/>
      <c r="W31" s="40"/>
      <c r="X31" s="40"/>
      <c r="Y31" s="40"/>
      <c r="Z31" s="40"/>
      <c r="AA31" s="40"/>
      <c r="AB31" s="40"/>
      <c r="AC31" s="40"/>
      <c r="AD31" s="40"/>
    </row>
    <row r="32" spans="3:36" x14ac:dyDescent="0.2">
      <c r="C32" s="17" t="s">
        <v>378</v>
      </c>
      <c r="D32" s="36">
        <v>21.408000000000001</v>
      </c>
      <c r="E32" s="36">
        <v>19.87</v>
      </c>
      <c r="F32" s="36">
        <v>4.5880000000000001</v>
      </c>
      <c r="G32" s="36">
        <v>4.3280000000000003</v>
      </c>
      <c r="H32" s="36">
        <v>4.1849999999999996</v>
      </c>
      <c r="I32" s="36">
        <v>4.0300000000000011</v>
      </c>
      <c r="J32" s="36">
        <v>17.131</v>
      </c>
      <c r="K32" s="36">
        <v>3.8439999999999999</v>
      </c>
      <c r="L32" s="36">
        <v>3.77</v>
      </c>
      <c r="M32" s="36">
        <v>6.1210000000000004</v>
      </c>
      <c r="N32" s="36">
        <v>3.4170000000000011</v>
      </c>
      <c r="O32" s="36">
        <v>17.152000000000001</v>
      </c>
      <c r="P32" s="36">
        <v>2.9159999999999999</v>
      </c>
      <c r="Q32" s="36">
        <v>2.5470000000000002</v>
      </c>
      <c r="R32" s="36">
        <v>1.4850000000000001</v>
      </c>
      <c r="S32" s="40"/>
      <c r="T32" s="40"/>
      <c r="U32" s="40"/>
      <c r="V32" s="40"/>
      <c r="W32" s="40"/>
      <c r="X32" s="40"/>
      <c r="Y32" s="40"/>
      <c r="Z32" s="40"/>
      <c r="AA32" s="40"/>
      <c r="AB32" s="40"/>
      <c r="AC32" s="40"/>
      <c r="AD32" s="40"/>
    </row>
    <row r="33" spans="3:36" x14ac:dyDescent="0.2">
      <c r="C33" s="17" t="s">
        <v>379</v>
      </c>
      <c r="D33" s="36">
        <v>22.736999999999998</v>
      </c>
      <c r="E33" s="36">
        <v>18.873000000000001</v>
      </c>
      <c r="F33" s="36">
        <v>2.8330000000000002</v>
      </c>
      <c r="G33" s="36">
        <v>3.6549999999999998</v>
      </c>
      <c r="H33" s="36">
        <v>2.25</v>
      </c>
      <c r="I33" s="36">
        <v>4.0449999999999999</v>
      </c>
      <c r="J33" s="36">
        <v>12.782999999999999</v>
      </c>
      <c r="K33" s="36">
        <v>2.8010000000000002</v>
      </c>
      <c r="L33" s="36">
        <v>3.964</v>
      </c>
      <c r="M33" s="36">
        <v>4.407</v>
      </c>
      <c r="N33" s="36">
        <v>2.0809999999999995</v>
      </c>
      <c r="O33" s="36">
        <v>13.253</v>
      </c>
      <c r="P33" s="36">
        <v>3.294</v>
      </c>
      <c r="Q33" s="36">
        <v>3.073</v>
      </c>
      <c r="R33" s="36">
        <v>3.9790000000000001</v>
      </c>
      <c r="S33" s="40"/>
      <c r="T33" s="40"/>
      <c r="U33" s="40"/>
      <c r="V33" s="40"/>
      <c r="W33" s="40"/>
      <c r="X33" s="40"/>
      <c r="Y33" s="40"/>
      <c r="Z33" s="40"/>
      <c r="AA33" s="40"/>
      <c r="AB33" s="40"/>
      <c r="AC33" s="40"/>
      <c r="AD33" s="40"/>
    </row>
    <row r="34" spans="3:36" x14ac:dyDescent="0.2">
      <c r="C34" s="17" t="s">
        <v>380</v>
      </c>
      <c r="D34" s="36">
        <v>0</v>
      </c>
      <c r="E34" s="36">
        <v>0</v>
      </c>
      <c r="F34" s="36">
        <v>0</v>
      </c>
      <c r="G34" s="36">
        <v>-2.5000000000000001E-2</v>
      </c>
      <c r="H34" s="36">
        <v>0</v>
      </c>
      <c r="I34" s="36">
        <v>2.5000000000000001E-2</v>
      </c>
      <c r="J34" s="36">
        <v>0</v>
      </c>
      <c r="K34" s="36">
        <v>0</v>
      </c>
      <c r="L34" s="36">
        <v>2.4E-2</v>
      </c>
      <c r="M34" s="36">
        <v>0</v>
      </c>
      <c r="N34" s="36">
        <v>-2.4E-2</v>
      </c>
      <c r="O34" s="36">
        <v>0</v>
      </c>
      <c r="P34" s="36">
        <v>0</v>
      </c>
      <c r="Q34" s="36">
        <v>0</v>
      </c>
      <c r="R34" s="36">
        <v>0</v>
      </c>
      <c r="S34" s="40"/>
      <c r="T34" s="40"/>
      <c r="U34" s="40"/>
      <c r="V34" s="40"/>
      <c r="W34" s="40"/>
      <c r="X34" s="40"/>
      <c r="Y34" s="40"/>
      <c r="Z34" s="40"/>
      <c r="AA34" s="40"/>
      <c r="AB34" s="40"/>
      <c r="AC34" s="40"/>
      <c r="AD34" s="40"/>
    </row>
    <row r="35" spans="3:36" x14ac:dyDescent="0.2">
      <c r="C35" s="17" t="s">
        <v>381</v>
      </c>
      <c r="D35" s="36">
        <v>2.0419999999999998</v>
      </c>
      <c r="E35" s="36">
        <v>0</v>
      </c>
      <c r="F35" s="36">
        <v>0</v>
      </c>
      <c r="G35" s="36">
        <v>0</v>
      </c>
      <c r="H35" s="36">
        <v>0</v>
      </c>
      <c r="I35" s="36">
        <v>0</v>
      </c>
      <c r="J35" s="36">
        <v>0</v>
      </c>
      <c r="K35" s="36">
        <v>0</v>
      </c>
      <c r="L35" s="36">
        <v>0</v>
      </c>
      <c r="M35" s="36">
        <v>0</v>
      </c>
      <c r="N35" s="36">
        <v>0</v>
      </c>
      <c r="O35" s="36">
        <v>0</v>
      </c>
      <c r="P35" s="36">
        <v>0</v>
      </c>
      <c r="Q35" s="36">
        <v>0</v>
      </c>
      <c r="R35" s="36">
        <v>0</v>
      </c>
      <c r="S35" s="40"/>
      <c r="T35" s="40"/>
      <c r="U35" s="40"/>
      <c r="V35" s="40"/>
      <c r="W35" s="40"/>
      <c r="X35" s="40"/>
      <c r="Y35" s="40"/>
      <c r="Z35" s="40"/>
      <c r="AA35" s="40"/>
      <c r="AB35" s="40"/>
      <c r="AC35" s="40"/>
      <c r="AD35" s="40"/>
    </row>
    <row r="36" spans="3:36" s="20" customFormat="1" x14ac:dyDescent="0.2">
      <c r="C36" s="17" t="s">
        <v>382</v>
      </c>
      <c r="D36" s="36">
        <v>-1.2430000000000001</v>
      </c>
      <c r="E36" s="36">
        <v>1.3029999999999999</v>
      </c>
      <c r="F36" s="36">
        <v>0</v>
      </c>
      <c r="G36" s="36">
        <v>0</v>
      </c>
      <c r="H36" s="36">
        <v>0.53800000000000003</v>
      </c>
      <c r="I36" s="36">
        <v>1.6060000000000001</v>
      </c>
      <c r="J36" s="36">
        <v>2.1440000000000001</v>
      </c>
      <c r="K36" s="36">
        <v>0</v>
      </c>
      <c r="L36" s="36">
        <v>0</v>
      </c>
      <c r="M36" s="36">
        <v>0.51300000000000001</v>
      </c>
      <c r="N36" s="36">
        <v>2.6990000000000003</v>
      </c>
      <c r="O36" s="36">
        <v>3.2120000000000002</v>
      </c>
      <c r="P36" s="36">
        <v>0</v>
      </c>
      <c r="Q36" s="36">
        <v>0</v>
      </c>
      <c r="R36" s="36">
        <v>0.59899999999999998</v>
      </c>
      <c r="S36" s="40"/>
      <c r="T36" s="40"/>
      <c r="U36" s="40"/>
      <c r="V36" s="40"/>
      <c r="W36" s="40"/>
      <c r="X36" s="40"/>
      <c r="Y36" s="40"/>
      <c r="Z36" s="40"/>
      <c r="AA36" s="40"/>
      <c r="AB36" s="40"/>
      <c r="AC36" s="40"/>
      <c r="AD36" s="40"/>
      <c r="AI36" s="21"/>
      <c r="AJ36" s="21"/>
    </row>
    <row r="37" spans="3:36" s="20" customFormat="1" x14ac:dyDescent="0.2">
      <c r="C37" s="17" t="s">
        <v>383</v>
      </c>
      <c r="D37" s="36">
        <v>-0.93400000000000005</v>
      </c>
      <c r="E37" s="36">
        <v>7.0000000000000007E-2</v>
      </c>
      <c r="F37" s="36">
        <v>0</v>
      </c>
      <c r="G37" s="36">
        <v>0</v>
      </c>
      <c r="H37" s="36">
        <v>0</v>
      </c>
      <c r="I37" s="36">
        <v>0</v>
      </c>
      <c r="J37" s="36">
        <v>0</v>
      </c>
      <c r="K37" s="36">
        <v>0</v>
      </c>
      <c r="L37" s="36">
        <v>0</v>
      </c>
      <c r="M37" s="36">
        <v>0</v>
      </c>
      <c r="N37" s="36">
        <v>0</v>
      </c>
      <c r="O37" s="36">
        <v>0</v>
      </c>
      <c r="P37" s="36">
        <v>0</v>
      </c>
      <c r="Q37" s="36">
        <v>0</v>
      </c>
      <c r="R37" s="36">
        <v>0</v>
      </c>
      <c r="S37" s="40"/>
      <c r="T37" s="40"/>
      <c r="U37" s="40"/>
      <c r="V37" s="40"/>
      <c r="W37" s="40"/>
      <c r="X37" s="40"/>
      <c r="Y37" s="40"/>
      <c r="Z37" s="40"/>
      <c r="AA37" s="40"/>
      <c r="AB37" s="40"/>
      <c r="AC37" s="40"/>
      <c r="AD37" s="40"/>
      <c r="AI37" s="21"/>
      <c r="AJ37" s="21"/>
    </row>
    <row r="38" spans="3:36" s="20" customFormat="1" x14ac:dyDescent="0.2">
      <c r="C38" s="17" t="s">
        <v>384</v>
      </c>
      <c r="D38" s="36">
        <v>0</v>
      </c>
      <c r="E38" s="36">
        <v>0</v>
      </c>
      <c r="F38" s="36">
        <v>0</v>
      </c>
      <c r="G38" s="36">
        <v>0</v>
      </c>
      <c r="H38" s="36">
        <v>0</v>
      </c>
      <c r="I38" s="36">
        <v>0</v>
      </c>
      <c r="J38" s="36">
        <v>0</v>
      </c>
      <c r="K38" s="36">
        <v>0</v>
      </c>
      <c r="L38" s="36">
        <v>0</v>
      </c>
      <c r="M38" s="36">
        <v>0</v>
      </c>
      <c r="N38" s="36">
        <v>0</v>
      </c>
      <c r="O38" s="36">
        <v>0</v>
      </c>
      <c r="P38" s="36">
        <v>0</v>
      </c>
      <c r="Q38" s="36">
        <v>0</v>
      </c>
      <c r="R38" s="36">
        <v>0</v>
      </c>
      <c r="S38" s="40"/>
      <c r="T38" s="40"/>
      <c r="U38" s="40"/>
      <c r="V38" s="40"/>
      <c r="W38" s="40"/>
      <c r="X38" s="40"/>
      <c r="Y38" s="40"/>
      <c r="Z38" s="40"/>
      <c r="AA38" s="40"/>
      <c r="AB38" s="40"/>
      <c r="AC38" s="40"/>
      <c r="AD38" s="40"/>
      <c r="AI38" s="21"/>
      <c r="AJ38" s="21"/>
    </row>
    <row r="39" spans="3:36" s="20" customFormat="1" x14ac:dyDescent="0.2">
      <c r="C39" s="17" t="s">
        <v>385</v>
      </c>
      <c r="D39" s="36">
        <v>-0.60699999999999998</v>
      </c>
      <c r="E39" s="36">
        <v>0</v>
      </c>
      <c r="F39" s="36">
        <v>0</v>
      </c>
      <c r="G39" s="36">
        <v>0</v>
      </c>
      <c r="H39" s="36">
        <v>0</v>
      </c>
      <c r="I39" s="36">
        <v>0</v>
      </c>
      <c r="J39" s="36">
        <v>0</v>
      </c>
      <c r="K39" s="36">
        <v>0</v>
      </c>
      <c r="L39" s="36">
        <v>0</v>
      </c>
      <c r="M39" s="36">
        <v>0</v>
      </c>
      <c r="N39" s="36">
        <v>0</v>
      </c>
      <c r="O39" s="36">
        <v>0</v>
      </c>
      <c r="P39" s="36">
        <v>0</v>
      </c>
      <c r="Q39" s="36">
        <v>0</v>
      </c>
      <c r="R39" s="36">
        <v>0</v>
      </c>
      <c r="S39" s="40"/>
      <c r="T39" s="40"/>
      <c r="U39" s="40"/>
      <c r="V39" s="40"/>
      <c r="W39" s="40"/>
      <c r="X39" s="40"/>
      <c r="Y39" s="40"/>
      <c r="Z39" s="40"/>
      <c r="AA39" s="40"/>
      <c r="AB39" s="40"/>
      <c r="AC39" s="40"/>
      <c r="AD39" s="40"/>
      <c r="AI39" s="21"/>
      <c r="AJ39" s="21"/>
    </row>
    <row r="40" spans="3:36" s="20" customFormat="1" x14ac:dyDescent="0.2">
      <c r="C40" s="17" t="s">
        <v>386</v>
      </c>
      <c r="D40" s="36">
        <v>0.13100000000000001</v>
      </c>
      <c r="E40" s="36">
        <v>0</v>
      </c>
      <c r="F40" s="36">
        <v>0.52800000000000002</v>
      </c>
      <c r="G40" s="36">
        <v>0.54500000000000004</v>
      </c>
      <c r="H40" s="36">
        <v>0</v>
      </c>
      <c r="I40" s="36">
        <v>-1.073</v>
      </c>
      <c r="J40" s="36">
        <v>0</v>
      </c>
      <c r="K40" s="36">
        <v>0.52100000000000002</v>
      </c>
      <c r="L40" s="36">
        <v>0.52700000000000002</v>
      </c>
      <c r="M40" s="36">
        <v>0</v>
      </c>
      <c r="N40" s="36">
        <v>-1.048</v>
      </c>
      <c r="O40" s="36">
        <v>0</v>
      </c>
      <c r="P40" s="36">
        <v>2.3780000000000001</v>
      </c>
      <c r="Q40" s="36">
        <v>1.448</v>
      </c>
      <c r="R40" s="36">
        <v>0</v>
      </c>
      <c r="S40" s="40"/>
      <c r="T40" s="40"/>
      <c r="U40" s="40"/>
      <c r="V40" s="40"/>
      <c r="W40" s="40"/>
      <c r="X40" s="40"/>
      <c r="Y40" s="40"/>
      <c r="Z40" s="40"/>
      <c r="AA40" s="40"/>
      <c r="AB40" s="40"/>
      <c r="AC40" s="40"/>
      <c r="AD40" s="40"/>
      <c r="AI40" s="21"/>
      <c r="AJ40" s="21"/>
    </row>
    <row r="41" spans="3:36" s="20" customFormat="1" x14ac:dyDescent="0.2">
      <c r="C41" s="17" t="s">
        <v>387</v>
      </c>
      <c r="D41" s="36">
        <v>0</v>
      </c>
      <c r="E41" s="36">
        <v>-5.0000000000000001E-3</v>
      </c>
      <c r="F41" s="36">
        <v>-2.9000000000000001E-2</v>
      </c>
      <c r="G41" s="36">
        <v>4.9000000000000002E-2</v>
      </c>
      <c r="H41" s="36">
        <v>-7.0999999999999994E-2</v>
      </c>
      <c r="I41" s="36">
        <v>2.799999999999999E-2</v>
      </c>
      <c r="J41" s="36">
        <v>-2.3E-2</v>
      </c>
      <c r="K41" s="36">
        <v>-2.8000000000000001E-2</v>
      </c>
      <c r="L41" s="36">
        <v>-0.127</v>
      </c>
      <c r="M41" s="36">
        <v>-0.32900000000000001</v>
      </c>
      <c r="N41" s="36">
        <v>0.28100000000000003</v>
      </c>
      <c r="O41" s="36">
        <v>-0.20300000000000001</v>
      </c>
      <c r="P41" s="36">
        <v>0.82</v>
      </c>
      <c r="Q41" s="36">
        <v>7.0000000000000001E-3</v>
      </c>
      <c r="R41" s="36">
        <v>-2.8000000000000001E-2</v>
      </c>
      <c r="S41" s="40"/>
      <c r="T41" s="40"/>
      <c r="U41" s="40"/>
      <c r="V41" s="40"/>
      <c r="W41" s="40"/>
      <c r="X41" s="40"/>
      <c r="Y41" s="40"/>
      <c r="Z41" s="40"/>
      <c r="AA41" s="40"/>
      <c r="AB41" s="40"/>
      <c r="AC41" s="40"/>
      <c r="AD41" s="40"/>
      <c r="AI41" s="21"/>
      <c r="AJ41" s="21"/>
    </row>
    <row r="42" spans="3:36" s="20" customFormat="1" x14ac:dyDescent="0.2">
      <c r="C42" s="17" t="s">
        <v>388</v>
      </c>
      <c r="D42" s="36">
        <v>0</v>
      </c>
      <c r="E42" s="36">
        <v>0</v>
      </c>
      <c r="F42" s="36">
        <v>0</v>
      </c>
      <c r="G42" s="36">
        <v>2E-3</v>
      </c>
      <c r="H42" s="36">
        <v>0</v>
      </c>
      <c r="I42" s="36">
        <v>-2E-3</v>
      </c>
      <c r="J42" s="36">
        <v>0</v>
      </c>
      <c r="K42" s="36">
        <v>0</v>
      </c>
      <c r="L42" s="36">
        <v>0</v>
      </c>
      <c r="M42" s="36">
        <v>0</v>
      </c>
      <c r="N42" s="36">
        <v>0</v>
      </c>
      <c r="O42" s="36">
        <v>0</v>
      </c>
      <c r="P42" s="36">
        <v>0</v>
      </c>
      <c r="Q42" s="36">
        <v>0</v>
      </c>
      <c r="R42" s="36">
        <v>0</v>
      </c>
      <c r="S42" s="40"/>
      <c r="T42" s="40"/>
      <c r="U42" s="40"/>
      <c r="V42" s="40"/>
      <c r="W42" s="40"/>
      <c r="X42" s="40"/>
      <c r="Y42" s="40"/>
      <c r="Z42" s="40"/>
      <c r="AA42" s="40"/>
      <c r="AB42" s="40"/>
      <c r="AC42" s="40"/>
      <c r="AD42" s="40"/>
      <c r="AI42" s="21"/>
      <c r="AJ42" s="21"/>
    </row>
    <row r="43" spans="3:36" s="20" customFormat="1" x14ac:dyDescent="0.2">
      <c r="C43" s="17" t="s">
        <v>389</v>
      </c>
      <c r="D43" s="36">
        <v>0</v>
      </c>
      <c r="E43" s="36">
        <v>0</v>
      </c>
      <c r="F43" s="36">
        <v>0</v>
      </c>
      <c r="G43" s="36">
        <v>0</v>
      </c>
      <c r="H43" s="36">
        <v>0</v>
      </c>
      <c r="I43" s="36">
        <v>0</v>
      </c>
      <c r="J43" s="36">
        <v>0</v>
      </c>
      <c r="K43" s="36">
        <v>0</v>
      </c>
      <c r="L43" s="36">
        <v>0</v>
      </c>
      <c r="M43" s="36">
        <v>0</v>
      </c>
      <c r="N43" s="36">
        <v>0.219</v>
      </c>
      <c r="O43" s="36">
        <v>0.219</v>
      </c>
      <c r="P43" s="36">
        <v>2.8000000000000001E-2</v>
      </c>
      <c r="Q43" s="36">
        <v>0.183</v>
      </c>
      <c r="R43" s="36">
        <v>0.221</v>
      </c>
      <c r="S43" s="40"/>
      <c r="T43" s="40"/>
      <c r="U43" s="40"/>
      <c r="V43" s="40"/>
      <c r="W43" s="40"/>
      <c r="X43" s="40"/>
      <c r="Y43" s="40"/>
      <c r="Z43" s="40"/>
      <c r="AA43" s="40"/>
      <c r="AB43" s="40"/>
      <c r="AC43" s="40"/>
      <c r="AD43" s="40"/>
      <c r="AI43" s="21"/>
      <c r="AJ43" s="21"/>
    </row>
    <row r="44" spans="3:36" s="20" customFormat="1" x14ac:dyDescent="0.2">
      <c r="C44" s="17" t="s">
        <v>390</v>
      </c>
      <c r="D44" s="36">
        <v>3.4129999999999998</v>
      </c>
      <c r="E44" s="36">
        <v>1.194</v>
      </c>
      <c r="F44" s="36">
        <v>-0.96099999999999997</v>
      </c>
      <c r="G44" s="36">
        <v>-0.89700000000000002</v>
      </c>
      <c r="H44" s="36">
        <v>0.26700000000000002</v>
      </c>
      <c r="I44" s="36">
        <v>-1.1669999999999998</v>
      </c>
      <c r="J44" s="36">
        <v>-2.758</v>
      </c>
      <c r="K44" s="36">
        <v>-1.8720000000000001</v>
      </c>
      <c r="L44" s="36">
        <v>-4.407</v>
      </c>
      <c r="M44" s="36">
        <v>-2.71</v>
      </c>
      <c r="N44" s="36">
        <v>2.5750000000000002</v>
      </c>
      <c r="O44" s="36">
        <v>-6.4139999999999997</v>
      </c>
      <c r="P44" s="36">
        <v>4.8120000000000003</v>
      </c>
      <c r="Q44" s="36">
        <v>-1.171</v>
      </c>
      <c r="R44" s="36">
        <v>-0.94499999999999995</v>
      </c>
      <c r="S44" s="40"/>
      <c r="T44" s="40"/>
      <c r="U44" s="40"/>
      <c r="V44" s="40"/>
      <c r="W44" s="40"/>
      <c r="X44" s="40"/>
      <c r="Y44" s="40"/>
      <c r="Z44" s="40"/>
      <c r="AA44" s="40"/>
      <c r="AB44" s="40"/>
      <c r="AC44" s="40"/>
      <c r="AD44" s="40"/>
      <c r="AI44" s="21"/>
      <c r="AJ44" s="21"/>
    </row>
    <row r="45" spans="3:36" s="20" customFormat="1" x14ac:dyDescent="0.2">
      <c r="C45" s="17" t="s">
        <v>391</v>
      </c>
      <c r="D45" s="36">
        <v>9.1609999999999996</v>
      </c>
      <c r="E45" s="36">
        <v>6.68</v>
      </c>
      <c r="F45" s="36">
        <v>-0.505</v>
      </c>
      <c r="G45" s="36">
        <v>4.8029999999999999</v>
      </c>
      <c r="H45" s="36">
        <v>-1.8129999999999999</v>
      </c>
      <c r="I45" s="36">
        <v>-4.0550000000000006</v>
      </c>
      <c r="J45" s="36">
        <v>-1.57</v>
      </c>
      <c r="K45" s="36">
        <v>-1.1839999999999999</v>
      </c>
      <c r="L45" s="36">
        <v>-32.777000000000001</v>
      </c>
      <c r="M45" s="36">
        <v>0.76800000000000002</v>
      </c>
      <c r="N45" s="36">
        <v>-17.352</v>
      </c>
      <c r="O45" s="36">
        <v>-50.545000000000002</v>
      </c>
      <c r="P45" s="36">
        <v>13.941000000000001</v>
      </c>
      <c r="Q45" s="36">
        <v>20.11</v>
      </c>
      <c r="R45" s="36">
        <v>-17.443999999999999</v>
      </c>
      <c r="S45" s="40"/>
      <c r="T45" s="40"/>
      <c r="U45" s="40"/>
      <c r="V45" s="40"/>
      <c r="W45" s="40"/>
      <c r="X45" s="40"/>
      <c r="Y45" s="40"/>
      <c r="Z45" s="40"/>
      <c r="AA45" s="40"/>
      <c r="AB45" s="40"/>
      <c r="AC45" s="40"/>
      <c r="AD45" s="40"/>
      <c r="AI45" s="21"/>
      <c r="AJ45" s="21"/>
    </row>
    <row r="46" spans="3:36" s="20" customFormat="1" x14ac:dyDescent="0.2">
      <c r="C46" s="17" t="s">
        <v>392</v>
      </c>
      <c r="D46" s="36">
        <v>-18.652999999999999</v>
      </c>
      <c r="E46" s="36">
        <v>-16.584</v>
      </c>
      <c r="F46" s="36">
        <v>0.68300000000000005</v>
      </c>
      <c r="G46" s="36">
        <v>-3.18</v>
      </c>
      <c r="H46" s="36">
        <v>-1.131</v>
      </c>
      <c r="I46" s="36">
        <v>4.0469999999999997</v>
      </c>
      <c r="J46" s="36">
        <v>0.41899999999999998</v>
      </c>
      <c r="K46" s="36">
        <v>0.56899999999999995</v>
      </c>
      <c r="L46" s="36">
        <v>6.7729999999999997</v>
      </c>
      <c r="M46" s="36">
        <v>-0.189</v>
      </c>
      <c r="N46" s="36">
        <v>-4.2619999999999996</v>
      </c>
      <c r="O46" s="36">
        <v>2.891</v>
      </c>
      <c r="P46" s="36">
        <v>6.5880000000000001</v>
      </c>
      <c r="Q46" s="36">
        <v>-10.238</v>
      </c>
      <c r="R46" s="36">
        <v>4.05</v>
      </c>
      <c r="S46" s="40"/>
      <c r="T46" s="40"/>
      <c r="U46" s="40"/>
      <c r="V46" s="40"/>
      <c r="W46" s="40"/>
      <c r="X46" s="40"/>
      <c r="Y46" s="40"/>
      <c r="Z46" s="40"/>
      <c r="AA46" s="40"/>
      <c r="AB46" s="40"/>
      <c r="AC46" s="40"/>
      <c r="AD46" s="40"/>
      <c r="AI46" s="21"/>
      <c r="AJ46" s="21"/>
    </row>
    <row r="47" spans="3:36" s="20" customFormat="1" x14ac:dyDescent="0.2">
      <c r="C47" s="17" t="s">
        <v>393</v>
      </c>
      <c r="D47" s="36">
        <v>-21.408000000000001</v>
      </c>
      <c r="E47" s="36">
        <v>-19.866</v>
      </c>
      <c r="F47" s="36">
        <v>-4.5880000000000001</v>
      </c>
      <c r="G47" s="36">
        <v>-4.3289999999999997</v>
      </c>
      <c r="H47" s="36">
        <v>-4.1829999999999998</v>
      </c>
      <c r="I47" s="36">
        <v>-4.0299999999999994</v>
      </c>
      <c r="J47" s="36">
        <v>-17.13</v>
      </c>
      <c r="K47" s="36">
        <v>-3.8420000000000001</v>
      </c>
      <c r="L47" s="36">
        <v>-3.762</v>
      </c>
      <c r="M47" s="36">
        <v>-3.5720000000000001</v>
      </c>
      <c r="N47" s="36">
        <v>-3.4219999999999993</v>
      </c>
      <c r="O47" s="36">
        <v>-14.598000000000001</v>
      </c>
      <c r="P47" s="36">
        <v>-2.9159999999999999</v>
      </c>
      <c r="Q47" s="36">
        <v>-2.5470000000000002</v>
      </c>
      <c r="R47" s="36">
        <v>-1.4850000000000001</v>
      </c>
      <c r="S47" s="40"/>
      <c r="T47" s="40"/>
      <c r="U47" s="40"/>
      <c r="V47" s="40"/>
      <c r="W47" s="40"/>
      <c r="X47" s="40"/>
      <c r="Y47" s="40"/>
      <c r="Z47" s="40"/>
      <c r="AA47" s="40"/>
      <c r="AB47" s="40"/>
      <c r="AC47" s="40"/>
      <c r="AD47" s="40"/>
      <c r="AI47" s="21"/>
      <c r="AJ47" s="21"/>
    </row>
    <row r="48" spans="3:36" s="20" customFormat="1" x14ac:dyDescent="0.2">
      <c r="C48" s="17" t="s">
        <v>394</v>
      </c>
      <c r="D48" s="36">
        <v>-0.34200000000000003</v>
      </c>
      <c r="E48" s="36">
        <v>-0.622</v>
      </c>
      <c r="F48" s="36">
        <v>-6.9000000000000006E-2</v>
      </c>
      <c r="G48" s="36">
        <v>-7.3999999999999996E-2</v>
      </c>
      <c r="H48" s="36">
        <v>-4.1000000000000002E-2</v>
      </c>
      <c r="I48" s="36">
        <v>-0.20499999999999999</v>
      </c>
      <c r="J48" s="36">
        <v>-0.38900000000000001</v>
      </c>
      <c r="K48" s="36">
        <v>-8.1000000000000003E-2</v>
      </c>
      <c r="L48" s="36">
        <v>-2.5000000000000001E-2</v>
      </c>
      <c r="M48" s="36">
        <v>-0.108</v>
      </c>
      <c r="N48" s="36">
        <v>-0.13700000000000001</v>
      </c>
      <c r="O48" s="36">
        <v>-0.35099999999999998</v>
      </c>
      <c r="P48" s="36">
        <v>-5.0000000000000001E-3</v>
      </c>
      <c r="Q48" s="36">
        <v>-8.2000000000000003E-2</v>
      </c>
      <c r="R48" s="36">
        <v>-4.5999999999999999E-2</v>
      </c>
      <c r="S48" s="40"/>
      <c r="T48" s="40"/>
      <c r="U48" s="40"/>
      <c r="V48" s="40"/>
      <c r="W48" s="40"/>
      <c r="X48" s="40"/>
      <c r="Y48" s="40"/>
      <c r="Z48" s="40"/>
      <c r="AA48" s="40"/>
      <c r="AB48" s="40"/>
      <c r="AC48" s="40"/>
      <c r="AD48" s="40"/>
      <c r="AI48" s="21"/>
      <c r="AJ48" s="21"/>
    </row>
    <row r="49" spans="3:36" s="20" customFormat="1" x14ac:dyDescent="0.2">
      <c r="C49" s="17" t="s">
        <v>395</v>
      </c>
      <c r="D49" s="36">
        <v>-18.689</v>
      </c>
      <c r="E49" s="36">
        <v>-15.353</v>
      </c>
      <c r="F49" s="36">
        <v>-2.6030000000000002</v>
      </c>
      <c r="G49" s="36">
        <v>-3.8340000000000001</v>
      </c>
      <c r="H49" s="36">
        <v>-2.5990000000000002</v>
      </c>
      <c r="I49" s="36">
        <v>-4.1529999999999987</v>
      </c>
      <c r="J49" s="36">
        <v>-13.189</v>
      </c>
      <c r="K49" s="36">
        <v>-1.615</v>
      </c>
      <c r="L49" s="36">
        <v>-5.9450000000000003</v>
      </c>
      <c r="M49" s="36">
        <v>-1.976</v>
      </c>
      <c r="N49" s="36">
        <v>-3.4820000000000011</v>
      </c>
      <c r="O49" s="36">
        <v>-13.018000000000001</v>
      </c>
      <c r="P49" s="36">
        <v>-2.8490000000000002</v>
      </c>
      <c r="Q49" s="36">
        <v>-0.27800000000000002</v>
      </c>
      <c r="R49" s="36">
        <v>-3.9279999999999999</v>
      </c>
      <c r="S49" s="40"/>
      <c r="T49" s="40"/>
      <c r="U49" s="40"/>
      <c r="V49" s="40"/>
      <c r="W49" s="40"/>
      <c r="X49" s="40"/>
      <c r="Y49" s="40"/>
      <c r="Z49" s="40"/>
      <c r="AA49" s="40"/>
      <c r="AB49" s="40"/>
      <c r="AC49" s="40"/>
      <c r="AD49" s="40"/>
      <c r="AI49" s="21"/>
      <c r="AJ49" s="21"/>
    </row>
    <row r="50" spans="3:36" s="20" customFormat="1" x14ac:dyDescent="0.2">
      <c r="C50" s="32" t="s">
        <v>139</v>
      </c>
      <c r="D50" s="33">
        <f>SUM(D28:D49,D26)</f>
        <v>59.274000000000044</v>
      </c>
      <c r="E50" s="33">
        <f t="shared" ref="E50:AD50" si="3">SUM(E28:E49,E26)</f>
        <v>84.128000000000043</v>
      </c>
      <c r="F50" s="33">
        <f t="shared" si="3"/>
        <v>6.6080000000000005</v>
      </c>
      <c r="G50" s="33">
        <f t="shared" si="3"/>
        <v>11.925000000000001</v>
      </c>
      <c r="H50" s="33">
        <f t="shared" si="3"/>
        <v>5.8380000000000027</v>
      </c>
      <c r="I50" s="33">
        <f t="shared" si="3"/>
        <v>7.4550000000000107</v>
      </c>
      <c r="J50" s="33">
        <f t="shared" si="3"/>
        <v>31.826000000000015</v>
      </c>
      <c r="K50" s="33">
        <f t="shared" si="3"/>
        <v>10.240999999999998</v>
      </c>
      <c r="L50" s="33">
        <f t="shared" si="3"/>
        <v>8.7409999999999997</v>
      </c>
      <c r="M50" s="33">
        <f t="shared" si="3"/>
        <v>61.478999999999999</v>
      </c>
      <c r="N50" s="33">
        <f t="shared" si="3"/>
        <v>67.342999999999961</v>
      </c>
      <c r="O50" s="33">
        <f t="shared" si="3"/>
        <v>147.80400000000003</v>
      </c>
      <c r="P50" s="33">
        <f t="shared" si="3"/>
        <v>99.207000000000022</v>
      </c>
      <c r="Q50" s="33">
        <f t="shared" si="3"/>
        <v>73.770999999999972</v>
      </c>
      <c r="R50" s="33">
        <f>SUM(R28:R49,R26)</f>
        <v>51.391000000000012</v>
      </c>
      <c r="S50" s="33">
        <f t="shared" si="3"/>
        <v>0</v>
      </c>
      <c r="T50" s="33">
        <f t="shared" si="3"/>
        <v>0</v>
      </c>
      <c r="U50" s="33">
        <f t="shared" si="3"/>
        <v>0</v>
      </c>
      <c r="V50" s="33">
        <f t="shared" si="3"/>
        <v>0</v>
      </c>
      <c r="W50" s="33">
        <f t="shared" si="3"/>
        <v>0</v>
      </c>
      <c r="X50" s="33">
        <f t="shared" si="3"/>
        <v>0</v>
      </c>
      <c r="Y50" s="33">
        <f t="shared" si="3"/>
        <v>0</v>
      </c>
      <c r="Z50" s="33">
        <f t="shared" si="3"/>
        <v>0</v>
      </c>
      <c r="AA50" s="33">
        <f t="shared" si="3"/>
        <v>0</v>
      </c>
      <c r="AB50" s="33">
        <f t="shared" si="3"/>
        <v>0</v>
      </c>
      <c r="AC50" s="33">
        <f t="shared" si="3"/>
        <v>0</v>
      </c>
      <c r="AD50" s="33">
        <f t="shared" si="3"/>
        <v>0</v>
      </c>
      <c r="AI50" s="21"/>
      <c r="AJ50" s="21"/>
    </row>
    <row r="51" spans="3:36" s="20" customFormat="1" ht="5.0999999999999996" customHeight="1" x14ac:dyDescent="0.2">
      <c r="C51" s="17"/>
      <c r="D51" s="37"/>
      <c r="E51" s="37"/>
      <c r="F51" s="37"/>
      <c r="G51" s="37"/>
      <c r="H51" s="37"/>
      <c r="I51" s="37"/>
      <c r="J51" s="37"/>
      <c r="K51" s="37"/>
      <c r="L51" s="37"/>
      <c r="M51" s="37"/>
      <c r="N51" s="37"/>
      <c r="O51" s="37"/>
      <c r="P51" s="37"/>
      <c r="Q51" s="37"/>
      <c r="R51" s="37"/>
      <c r="AI51" s="21"/>
      <c r="AJ51" s="21"/>
    </row>
    <row r="52" spans="3:36" s="20" customFormat="1" x14ac:dyDescent="0.2">
      <c r="C52" s="17" t="s">
        <v>396</v>
      </c>
      <c r="D52" s="36">
        <v>-65.230999999999995</v>
      </c>
      <c r="E52" s="36">
        <v>-12.019</v>
      </c>
      <c r="F52" s="36">
        <v>-1.9690000000000001</v>
      </c>
      <c r="G52" s="36">
        <v>-2.2149999999999999</v>
      </c>
      <c r="H52" s="36">
        <v>-0.97</v>
      </c>
      <c r="I52" s="36">
        <v>-1.8790000000000004</v>
      </c>
      <c r="J52" s="36">
        <v>-7.0330000000000004</v>
      </c>
      <c r="K52" s="36">
        <v>-0.41899999999999998</v>
      </c>
      <c r="L52" s="36">
        <v>-0.47499999999999998</v>
      </c>
      <c r="M52" s="36">
        <v>-3.0000000000000582E-3</v>
      </c>
      <c r="N52" s="36">
        <v>-34.588999999999999</v>
      </c>
      <c r="O52" s="36">
        <v>-35.485999999999997</v>
      </c>
      <c r="P52" s="36">
        <v>-4.827</v>
      </c>
      <c r="Q52" s="36">
        <v>-30.736999999999998</v>
      </c>
      <c r="R52" s="36">
        <v>-1.8919999999999999</v>
      </c>
      <c r="S52" s="40"/>
      <c r="T52" s="40"/>
      <c r="U52" s="40"/>
      <c r="V52" s="40"/>
      <c r="W52" s="40"/>
      <c r="X52" s="40"/>
      <c r="Y52" s="40"/>
      <c r="Z52" s="40"/>
      <c r="AA52" s="40"/>
      <c r="AB52" s="40"/>
      <c r="AC52" s="40"/>
      <c r="AD52" s="40"/>
      <c r="AI52" s="21"/>
      <c r="AJ52" s="21"/>
    </row>
    <row r="53" spans="3:36" s="20" customFormat="1" x14ac:dyDescent="0.2">
      <c r="C53" s="17" t="s">
        <v>397</v>
      </c>
      <c r="D53" s="36">
        <v>9.4049999999999994</v>
      </c>
      <c r="E53" s="36">
        <v>55.331000000000003</v>
      </c>
      <c r="F53" s="36">
        <v>3.2</v>
      </c>
      <c r="G53" s="36">
        <v>0</v>
      </c>
      <c r="H53" s="36">
        <v>0</v>
      </c>
      <c r="I53" s="36">
        <v>10.486000000000001</v>
      </c>
      <c r="J53" s="36">
        <v>13.686</v>
      </c>
      <c r="K53" s="36">
        <v>10.196999999999999</v>
      </c>
      <c r="L53" s="36">
        <v>9.1080000000000005</v>
      </c>
      <c r="M53" s="36">
        <v>4.5999999999999375E-2</v>
      </c>
      <c r="N53" s="36">
        <v>-9.1999999999998749E-2</v>
      </c>
      <c r="O53" s="36">
        <v>19.259</v>
      </c>
      <c r="P53" s="36">
        <v>0</v>
      </c>
      <c r="Q53" s="36">
        <v>0</v>
      </c>
      <c r="R53" s="36">
        <v>0</v>
      </c>
      <c r="S53" s="40"/>
      <c r="T53" s="40"/>
      <c r="U53" s="40"/>
      <c r="V53" s="40"/>
      <c r="W53" s="40"/>
      <c r="X53" s="40"/>
      <c r="Y53" s="40"/>
      <c r="Z53" s="40"/>
      <c r="AA53" s="40"/>
      <c r="AB53" s="40"/>
      <c r="AC53" s="40"/>
      <c r="AD53" s="40"/>
      <c r="AI53" s="21"/>
      <c r="AJ53" s="21"/>
    </row>
    <row r="54" spans="3:36" s="20" customFormat="1" x14ac:dyDescent="0.2">
      <c r="C54" s="17" t="s">
        <v>398</v>
      </c>
      <c r="D54" s="36">
        <v>0</v>
      </c>
      <c r="E54" s="36">
        <v>0</v>
      </c>
      <c r="F54" s="36">
        <v>0</v>
      </c>
      <c r="G54" s="36">
        <v>0</v>
      </c>
      <c r="H54" s="36">
        <v>0</v>
      </c>
      <c r="I54" s="36">
        <v>0</v>
      </c>
      <c r="J54" s="36">
        <v>0</v>
      </c>
      <c r="K54" s="36">
        <v>0</v>
      </c>
      <c r="L54" s="36">
        <v>0</v>
      </c>
      <c r="M54" s="36">
        <v>0</v>
      </c>
      <c r="N54" s="36">
        <v>0</v>
      </c>
      <c r="O54" s="36">
        <v>0</v>
      </c>
      <c r="P54" s="36">
        <v>0</v>
      </c>
      <c r="Q54" s="36">
        <v>0</v>
      </c>
      <c r="R54" s="36">
        <v>0</v>
      </c>
      <c r="S54" s="40"/>
      <c r="T54" s="40"/>
      <c r="U54" s="40"/>
      <c r="V54" s="40"/>
      <c r="W54" s="40"/>
      <c r="X54" s="40"/>
      <c r="Y54" s="40"/>
      <c r="Z54" s="40"/>
      <c r="AA54" s="40"/>
      <c r="AB54" s="40"/>
      <c r="AC54" s="40"/>
      <c r="AD54" s="40"/>
      <c r="AI54" s="21"/>
      <c r="AJ54" s="21"/>
    </row>
    <row r="55" spans="3:36" s="20" customFormat="1" x14ac:dyDescent="0.2">
      <c r="C55" s="17" t="s">
        <v>399</v>
      </c>
      <c r="D55" s="36">
        <v>15.401</v>
      </c>
      <c r="E55" s="36">
        <v>0.51</v>
      </c>
      <c r="F55" s="36">
        <v>0</v>
      </c>
      <c r="G55" s="36">
        <v>0</v>
      </c>
      <c r="H55" s="36">
        <v>0</v>
      </c>
      <c r="I55" s="36">
        <v>0</v>
      </c>
      <c r="J55" s="36">
        <v>0</v>
      </c>
      <c r="K55" s="36">
        <v>0</v>
      </c>
      <c r="L55" s="36">
        <v>0</v>
      </c>
      <c r="M55" s="36">
        <v>0</v>
      </c>
      <c r="N55" s="36">
        <v>0</v>
      </c>
      <c r="O55" s="36">
        <v>0</v>
      </c>
      <c r="P55" s="36">
        <v>0</v>
      </c>
      <c r="Q55" s="36">
        <v>0</v>
      </c>
      <c r="R55" s="36">
        <v>0</v>
      </c>
      <c r="S55" s="40"/>
      <c r="T55" s="40"/>
      <c r="U55" s="40"/>
      <c r="V55" s="40"/>
      <c r="W55" s="40"/>
      <c r="X55" s="40"/>
      <c r="Y55" s="40"/>
      <c r="Z55" s="40"/>
      <c r="AA55" s="40"/>
      <c r="AB55" s="40"/>
      <c r="AC55" s="40"/>
      <c r="AD55" s="40"/>
      <c r="AI55" s="21"/>
      <c r="AJ55" s="21"/>
    </row>
    <row r="56" spans="3:36" s="20" customFormat="1" x14ac:dyDescent="0.2">
      <c r="C56" s="17" t="s">
        <v>400</v>
      </c>
      <c r="D56" s="36">
        <v>0</v>
      </c>
      <c r="E56" s="36">
        <v>0</v>
      </c>
      <c r="F56" s="36">
        <v>0</v>
      </c>
      <c r="G56" s="36">
        <v>0</v>
      </c>
      <c r="H56" s="36">
        <v>0</v>
      </c>
      <c r="I56" s="36">
        <v>0</v>
      </c>
      <c r="J56" s="36">
        <v>0</v>
      </c>
      <c r="K56" s="36">
        <v>0</v>
      </c>
      <c r="L56" s="36">
        <v>0</v>
      </c>
      <c r="M56" s="36">
        <v>-25.542000000000002</v>
      </c>
      <c r="N56" s="36">
        <v>0</v>
      </c>
      <c r="O56" s="36">
        <v>-25.542000000000002</v>
      </c>
      <c r="P56" s="36">
        <v>0</v>
      </c>
      <c r="Q56" s="36">
        <v>0</v>
      </c>
      <c r="R56" s="36">
        <v>0</v>
      </c>
      <c r="S56" s="40"/>
      <c r="T56" s="40"/>
      <c r="U56" s="40"/>
      <c r="V56" s="40"/>
      <c r="W56" s="40"/>
      <c r="X56" s="40"/>
      <c r="Y56" s="40"/>
      <c r="Z56" s="40"/>
      <c r="AA56" s="40"/>
      <c r="AB56" s="40"/>
      <c r="AC56" s="40"/>
      <c r="AD56" s="40"/>
      <c r="AI56" s="21"/>
      <c r="AJ56" s="21"/>
    </row>
    <row r="57" spans="3:36" s="20" customFormat="1" x14ac:dyDescent="0.2">
      <c r="C57" s="32" t="s">
        <v>138</v>
      </c>
      <c r="D57" s="33">
        <f>+SUM(D52:D56)</f>
        <v>-40.424999999999997</v>
      </c>
      <c r="E57" s="33">
        <f t="shared" ref="E57:AD57" si="4">+SUM(E52:E56)</f>
        <v>43.822000000000003</v>
      </c>
      <c r="F57" s="33">
        <f t="shared" si="4"/>
        <v>1.2310000000000001</v>
      </c>
      <c r="G57" s="33">
        <f t="shared" si="4"/>
        <v>-2.2149999999999999</v>
      </c>
      <c r="H57" s="33">
        <f t="shared" si="4"/>
        <v>-0.97</v>
      </c>
      <c r="I57" s="33">
        <f t="shared" si="4"/>
        <v>8.6069999999999993</v>
      </c>
      <c r="J57" s="33">
        <f t="shared" si="4"/>
        <v>6.6529999999999996</v>
      </c>
      <c r="K57" s="33">
        <f t="shared" si="4"/>
        <v>9.7779999999999987</v>
      </c>
      <c r="L57" s="33">
        <f t="shared" si="4"/>
        <v>8.6330000000000009</v>
      </c>
      <c r="M57" s="33">
        <f t="shared" si="4"/>
        <v>-25.499000000000002</v>
      </c>
      <c r="N57" s="33">
        <f t="shared" si="4"/>
        <v>-34.680999999999997</v>
      </c>
      <c r="O57" s="33">
        <f t="shared" si="4"/>
        <v>-41.768999999999998</v>
      </c>
      <c r="P57" s="33">
        <f t="shared" si="4"/>
        <v>-4.827</v>
      </c>
      <c r="Q57" s="33">
        <f t="shared" si="4"/>
        <v>-30.736999999999998</v>
      </c>
      <c r="R57" s="33">
        <f t="shared" si="4"/>
        <v>-1.8919999999999999</v>
      </c>
      <c r="S57" s="33">
        <f t="shared" si="4"/>
        <v>0</v>
      </c>
      <c r="T57" s="33">
        <f t="shared" si="4"/>
        <v>0</v>
      </c>
      <c r="U57" s="33">
        <f t="shared" si="4"/>
        <v>0</v>
      </c>
      <c r="V57" s="33">
        <f t="shared" si="4"/>
        <v>0</v>
      </c>
      <c r="W57" s="33">
        <f t="shared" si="4"/>
        <v>0</v>
      </c>
      <c r="X57" s="33">
        <f t="shared" si="4"/>
        <v>0</v>
      </c>
      <c r="Y57" s="33">
        <f t="shared" si="4"/>
        <v>0</v>
      </c>
      <c r="Z57" s="33">
        <f t="shared" si="4"/>
        <v>0</v>
      </c>
      <c r="AA57" s="33">
        <f t="shared" si="4"/>
        <v>0</v>
      </c>
      <c r="AB57" s="33">
        <f t="shared" si="4"/>
        <v>0</v>
      </c>
      <c r="AC57" s="33">
        <f t="shared" si="4"/>
        <v>0</v>
      </c>
      <c r="AD57" s="33">
        <f t="shared" si="4"/>
        <v>0</v>
      </c>
      <c r="AI57" s="21"/>
      <c r="AJ57" s="21"/>
    </row>
    <row r="58" spans="3:36" s="20" customFormat="1" ht="5.0999999999999996" customHeight="1" x14ac:dyDescent="0.2">
      <c r="C58" s="17"/>
      <c r="D58" s="37"/>
      <c r="E58" s="37"/>
      <c r="F58" s="37"/>
      <c r="G58" s="37"/>
      <c r="H58" s="37"/>
      <c r="I58" s="37"/>
      <c r="J58" s="37"/>
      <c r="K58" s="37"/>
      <c r="L58" s="37"/>
      <c r="M58" s="37"/>
      <c r="N58" s="37"/>
      <c r="O58" s="37"/>
      <c r="P58" s="37"/>
      <c r="Q58" s="37"/>
      <c r="R58" s="37"/>
      <c r="AI58" s="21"/>
      <c r="AJ58" s="21"/>
    </row>
    <row r="59" spans="3:36" s="20" customFormat="1" x14ac:dyDescent="0.2">
      <c r="C59" s="17" t="s">
        <v>401</v>
      </c>
      <c r="D59" s="36">
        <v>49.787999999999997</v>
      </c>
      <c r="E59" s="36">
        <v>8.0000000000000002E-3</v>
      </c>
      <c r="F59" s="36"/>
      <c r="G59" s="36"/>
      <c r="H59" s="36">
        <v>0</v>
      </c>
      <c r="I59" s="36">
        <v>1E-3</v>
      </c>
      <c r="J59" s="36">
        <v>1E-3</v>
      </c>
      <c r="K59" s="36">
        <v>0</v>
      </c>
      <c r="L59" s="36">
        <v>0</v>
      </c>
      <c r="M59" s="36">
        <v>4.0000000000000001E-3</v>
      </c>
      <c r="N59" s="36">
        <v>0</v>
      </c>
      <c r="O59" s="36">
        <v>4.0000000000000001E-3</v>
      </c>
      <c r="P59" s="36">
        <v>0</v>
      </c>
      <c r="Q59" s="36">
        <v>0</v>
      </c>
      <c r="R59" s="36">
        <v>0</v>
      </c>
      <c r="S59" s="40"/>
      <c r="T59" s="40"/>
      <c r="U59" s="40"/>
      <c r="V59" s="40"/>
      <c r="W59" s="40"/>
      <c r="X59" s="40"/>
      <c r="Y59" s="40"/>
      <c r="Z59" s="40"/>
      <c r="AA59" s="40"/>
      <c r="AB59" s="40"/>
      <c r="AC59" s="40"/>
      <c r="AD59" s="40"/>
      <c r="AI59" s="21"/>
      <c r="AJ59" s="21"/>
    </row>
    <row r="60" spans="3:36" s="20" customFormat="1" x14ac:dyDescent="0.2">
      <c r="C60" s="17" t="s">
        <v>402</v>
      </c>
      <c r="D60" s="36">
        <v>0</v>
      </c>
      <c r="E60" s="36">
        <v>0</v>
      </c>
      <c r="F60" s="36">
        <v>-0.33600000000000002</v>
      </c>
      <c r="G60" s="36"/>
      <c r="H60" s="36">
        <v>0</v>
      </c>
      <c r="I60" s="36">
        <v>0</v>
      </c>
      <c r="J60" s="36">
        <v>-0.33600000000000002</v>
      </c>
      <c r="K60" s="36">
        <v>0</v>
      </c>
      <c r="L60" s="36">
        <v>0</v>
      </c>
      <c r="M60" s="36">
        <v>0</v>
      </c>
      <c r="N60" s="36">
        <v>0</v>
      </c>
      <c r="O60" s="36">
        <v>0</v>
      </c>
      <c r="P60" s="36">
        <v>0</v>
      </c>
      <c r="Q60" s="36">
        <v>0</v>
      </c>
      <c r="R60" s="36">
        <v>0</v>
      </c>
      <c r="S60" s="40"/>
      <c r="T60" s="40"/>
      <c r="U60" s="40"/>
      <c r="V60" s="40"/>
      <c r="W60" s="40"/>
      <c r="X60" s="40"/>
      <c r="Y60" s="40"/>
      <c r="Z60" s="40"/>
      <c r="AA60" s="40"/>
      <c r="AB60" s="40"/>
      <c r="AC60" s="40"/>
      <c r="AD60" s="40"/>
      <c r="AI60" s="21"/>
      <c r="AJ60" s="21"/>
    </row>
    <row r="61" spans="3:36" s="20" customFormat="1" x14ac:dyDescent="0.2">
      <c r="C61" s="17" t="s">
        <v>403</v>
      </c>
      <c r="D61" s="36">
        <v>-0.82199999999999995</v>
      </c>
      <c r="E61" s="36">
        <v>-0.85799999999999998</v>
      </c>
      <c r="F61" s="36">
        <v>0</v>
      </c>
      <c r="G61" s="36">
        <v>-1.4E-2</v>
      </c>
      <c r="H61" s="36">
        <v>-1.7000000000000001E-2</v>
      </c>
      <c r="I61" s="36">
        <v>0</v>
      </c>
      <c r="J61" s="36">
        <v>-3.1E-2</v>
      </c>
      <c r="K61" s="36">
        <v>0</v>
      </c>
      <c r="L61" s="36">
        <v>0.129</v>
      </c>
      <c r="M61" s="36">
        <v>0</v>
      </c>
      <c r="N61" s="36">
        <v>-0.129</v>
      </c>
      <c r="O61" s="36">
        <v>0</v>
      </c>
      <c r="P61" s="36">
        <v>0</v>
      </c>
      <c r="Q61" s="36">
        <v>-3.5000000000000003E-2</v>
      </c>
      <c r="R61" s="36">
        <v>-9.6000000000000002E-2</v>
      </c>
      <c r="S61" s="40"/>
      <c r="T61" s="40"/>
      <c r="U61" s="40"/>
      <c r="V61" s="40"/>
      <c r="W61" s="40"/>
      <c r="X61" s="40"/>
      <c r="Y61" s="40"/>
      <c r="Z61" s="40"/>
      <c r="AA61" s="40"/>
      <c r="AB61" s="40"/>
      <c r="AC61" s="40"/>
      <c r="AD61" s="40"/>
      <c r="AI61" s="21"/>
      <c r="AJ61" s="21"/>
    </row>
    <row r="62" spans="3:36" s="20" customFormat="1" x14ac:dyDescent="0.2">
      <c r="C62" s="17" t="s">
        <v>404</v>
      </c>
      <c r="D62" s="36">
        <v>-26.88</v>
      </c>
      <c r="E62" s="36">
        <v>-5</v>
      </c>
      <c r="F62" s="36">
        <v>0</v>
      </c>
      <c r="G62" s="36"/>
      <c r="H62" s="36"/>
      <c r="I62" s="36">
        <v>0</v>
      </c>
      <c r="J62" s="36">
        <v>0</v>
      </c>
      <c r="K62" s="36">
        <v>0</v>
      </c>
      <c r="L62" s="36">
        <v>0</v>
      </c>
      <c r="M62" s="36">
        <v>0</v>
      </c>
      <c r="N62" s="36">
        <v>0</v>
      </c>
      <c r="O62" s="36">
        <v>0</v>
      </c>
      <c r="P62" s="36">
        <v>0</v>
      </c>
      <c r="Q62" s="36">
        <v>0</v>
      </c>
      <c r="R62" s="36"/>
      <c r="S62" s="40"/>
      <c r="T62" s="40"/>
      <c r="U62" s="40"/>
      <c r="V62" s="40"/>
      <c r="W62" s="40"/>
      <c r="X62" s="40"/>
      <c r="Y62" s="40"/>
      <c r="Z62" s="40"/>
      <c r="AA62" s="40"/>
      <c r="AB62" s="40"/>
      <c r="AC62" s="40"/>
      <c r="AD62" s="40"/>
      <c r="AI62" s="21"/>
      <c r="AJ62" s="21"/>
    </row>
    <row r="63" spans="3:36" s="20" customFormat="1" x14ac:dyDescent="0.2">
      <c r="C63" s="17" t="s">
        <v>405</v>
      </c>
      <c r="D63" s="36">
        <v>-2</v>
      </c>
      <c r="E63" s="36">
        <v>2.2629999999999999</v>
      </c>
      <c r="F63" s="36">
        <v>0.47399999999999998</v>
      </c>
      <c r="G63" s="36">
        <v>0.63700000000000001</v>
      </c>
      <c r="H63" s="36">
        <v>0.65800000000000003</v>
      </c>
      <c r="I63" s="36">
        <v>0.254</v>
      </c>
      <c r="J63" s="36">
        <v>2.0230000000000001</v>
      </c>
      <c r="K63" s="36">
        <v>7.6999999999999999E-2</v>
      </c>
      <c r="L63" s="36">
        <v>-4.0000000000000001E-3</v>
      </c>
      <c r="M63" s="36">
        <v>4.8000000000000001E-2</v>
      </c>
      <c r="N63" s="36">
        <v>0</v>
      </c>
      <c r="O63" s="36">
        <v>0.121</v>
      </c>
      <c r="P63" s="36">
        <v>0</v>
      </c>
      <c r="Q63" s="36">
        <v>0</v>
      </c>
      <c r="R63" s="36"/>
      <c r="S63" s="40"/>
      <c r="T63" s="40"/>
      <c r="U63" s="40"/>
      <c r="V63" s="40"/>
      <c r="W63" s="40"/>
      <c r="X63" s="40"/>
      <c r="Y63" s="40"/>
      <c r="Z63" s="40"/>
      <c r="AA63" s="40"/>
      <c r="AB63" s="40"/>
      <c r="AC63" s="40"/>
      <c r="AD63" s="40"/>
      <c r="AI63" s="21"/>
      <c r="AJ63" s="21"/>
    </row>
    <row r="64" spans="3:36" s="20" customFormat="1" x14ac:dyDescent="0.2">
      <c r="C64" s="17" t="s">
        <v>406</v>
      </c>
      <c r="D64" s="36">
        <v>4.9080000000000004</v>
      </c>
      <c r="E64" s="36">
        <v>-2.6989999999999998</v>
      </c>
      <c r="F64" s="36">
        <v>0</v>
      </c>
      <c r="G64" s="36"/>
      <c r="H64" s="36"/>
      <c r="I64" s="36">
        <v>0</v>
      </c>
      <c r="J64" s="36">
        <v>0</v>
      </c>
      <c r="K64" s="36">
        <v>0</v>
      </c>
      <c r="L64" s="36">
        <v>0</v>
      </c>
      <c r="M64" s="36">
        <v>0</v>
      </c>
      <c r="N64" s="36">
        <v>0</v>
      </c>
      <c r="O64" s="36">
        <v>0</v>
      </c>
      <c r="P64" s="36">
        <v>0</v>
      </c>
      <c r="Q64" s="36">
        <v>0</v>
      </c>
      <c r="R64" s="36"/>
      <c r="S64" s="40"/>
      <c r="T64" s="40"/>
      <c r="U64" s="40"/>
      <c r="V64" s="40"/>
      <c r="W64" s="40"/>
      <c r="X64" s="40"/>
      <c r="Y64" s="40"/>
      <c r="Z64" s="40"/>
      <c r="AA64" s="40"/>
      <c r="AB64" s="40"/>
      <c r="AC64" s="40"/>
      <c r="AD64" s="40"/>
      <c r="AI64" s="21"/>
      <c r="AJ64" s="21"/>
    </row>
    <row r="65" spans="3:36" s="20" customFormat="1" x14ac:dyDescent="0.2">
      <c r="C65" s="17" t="s">
        <v>407</v>
      </c>
      <c r="D65" s="36">
        <v>-91.926000000000002</v>
      </c>
      <c r="E65" s="36">
        <v>-104.85</v>
      </c>
      <c r="F65" s="36">
        <v>-6.5780000000000003</v>
      </c>
      <c r="G65" s="36">
        <v>-9.3819999999999997</v>
      </c>
      <c r="H65" s="36">
        <v>-6.9960000000000004</v>
      </c>
      <c r="I65" s="36">
        <v>-68.921999999999997</v>
      </c>
      <c r="J65" s="36">
        <v>-91.878</v>
      </c>
      <c r="K65" s="36">
        <v>-22.856999999999999</v>
      </c>
      <c r="L65" s="36">
        <v>-8.8190000000000008</v>
      </c>
      <c r="M65" s="36">
        <v>-130.703</v>
      </c>
      <c r="N65" s="36">
        <v>-20.802999999999983</v>
      </c>
      <c r="O65" s="36">
        <v>-183.18199999999999</v>
      </c>
      <c r="P65" s="36">
        <v>-18.065000000000001</v>
      </c>
      <c r="Q65" s="36">
        <v>-31.035</v>
      </c>
      <c r="R65" s="36">
        <v>-21.721</v>
      </c>
      <c r="S65" s="40"/>
      <c r="T65" s="40"/>
      <c r="U65" s="40"/>
      <c r="V65" s="40"/>
      <c r="W65" s="40"/>
      <c r="X65" s="40"/>
      <c r="Y65" s="40"/>
      <c r="Z65" s="40"/>
      <c r="AA65" s="40"/>
      <c r="AB65" s="40"/>
      <c r="AC65" s="40"/>
      <c r="AD65" s="40"/>
      <c r="AI65" s="21"/>
      <c r="AJ65" s="21"/>
    </row>
    <row r="66" spans="3:36" s="20" customFormat="1" x14ac:dyDescent="0.2">
      <c r="C66" s="17" t="s">
        <v>408</v>
      </c>
      <c r="D66" s="36">
        <v>25.25</v>
      </c>
      <c r="E66" s="36">
        <v>47.741999999999997</v>
      </c>
      <c r="F66" s="36">
        <v>13.756</v>
      </c>
      <c r="G66" s="36"/>
      <c r="H66" s="36"/>
      <c r="I66" s="36">
        <v>63</v>
      </c>
      <c r="J66" s="36">
        <v>76.756</v>
      </c>
      <c r="K66" s="36">
        <v>15.345000000000001</v>
      </c>
      <c r="L66" s="36">
        <v>0</v>
      </c>
      <c r="M66" s="36">
        <v>144.172</v>
      </c>
      <c r="N66" s="36">
        <v>34.961000000000013</v>
      </c>
      <c r="O66" s="36">
        <v>194.47800000000001</v>
      </c>
      <c r="P66" s="36">
        <v>0</v>
      </c>
      <c r="Q66" s="36">
        <v>17.75</v>
      </c>
      <c r="R66" s="36">
        <v>20</v>
      </c>
      <c r="S66" s="40"/>
      <c r="T66" s="40"/>
      <c r="U66" s="40"/>
      <c r="V66" s="40"/>
      <c r="W66" s="40"/>
      <c r="X66" s="40"/>
      <c r="Y66" s="40"/>
      <c r="Z66" s="40"/>
      <c r="AA66" s="40"/>
      <c r="AB66" s="40"/>
      <c r="AC66" s="40"/>
      <c r="AD66" s="40"/>
      <c r="AI66" s="21"/>
      <c r="AJ66" s="21"/>
    </row>
    <row r="67" spans="3:36" s="20" customFormat="1" x14ac:dyDescent="0.2">
      <c r="C67" s="17" t="s">
        <v>409</v>
      </c>
      <c r="D67" s="36">
        <v>62.951999999999998</v>
      </c>
      <c r="E67" s="36">
        <v>0</v>
      </c>
      <c r="F67" s="36">
        <v>0</v>
      </c>
      <c r="G67" s="36"/>
      <c r="H67" s="36"/>
      <c r="I67" s="36">
        <v>0</v>
      </c>
      <c r="J67" s="36">
        <v>0</v>
      </c>
      <c r="K67" s="36">
        <v>0</v>
      </c>
      <c r="L67" s="36">
        <v>0</v>
      </c>
      <c r="M67" s="36">
        <v>42.9</v>
      </c>
      <c r="N67" s="36">
        <v>0</v>
      </c>
      <c r="O67" s="36">
        <v>42.9</v>
      </c>
      <c r="P67" s="36">
        <v>0</v>
      </c>
      <c r="Q67" s="36">
        <v>0</v>
      </c>
      <c r="R67" s="36">
        <v>0</v>
      </c>
      <c r="S67" s="40"/>
      <c r="T67" s="40"/>
      <c r="U67" s="40"/>
      <c r="V67" s="40"/>
      <c r="W67" s="40"/>
      <c r="X67" s="40"/>
      <c r="Y67" s="40"/>
      <c r="Z67" s="40"/>
      <c r="AA67" s="40"/>
      <c r="AB67" s="40"/>
      <c r="AC67" s="40"/>
      <c r="AD67" s="40"/>
      <c r="AI67" s="21"/>
      <c r="AJ67" s="21"/>
    </row>
    <row r="68" spans="3:36" s="20" customFormat="1" x14ac:dyDescent="0.2">
      <c r="C68" s="17" t="s">
        <v>410</v>
      </c>
      <c r="D68" s="36">
        <v>-37.722000000000001</v>
      </c>
      <c r="E68" s="36">
        <v>-36.779000000000003</v>
      </c>
      <c r="F68" s="36">
        <v>-18.129000000000001</v>
      </c>
      <c r="G68" s="36">
        <v>-8.6630000000000003</v>
      </c>
      <c r="H68" s="36">
        <v>-8.7170000000000005</v>
      </c>
      <c r="I68" s="36">
        <v>-8.3930000000000007</v>
      </c>
      <c r="J68" s="36">
        <v>-43.902000000000001</v>
      </c>
      <c r="K68" s="36">
        <v>-8.9049999999999994</v>
      </c>
      <c r="L68" s="36">
        <v>-9.077</v>
      </c>
      <c r="M68" s="36">
        <v>-52.139000000000003</v>
      </c>
      <c r="N68" s="36">
        <v>-8.4030000000000005</v>
      </c>
      <c r="O68" s="36">
        <v>-78.524000000000001</v>
      </c>
      <c r="P68" s="36">
        <v>-29.382000000000001</v>
      </c>
      <c r="Q68" s="36">
        <v>-48.798000000000002</v>
      </c>
      <c r="R68" s="36">
        <v>-49.738</v>
      </c>
      <c r="S68" s="40"/>
      <c r="T68" s="40"/>
      <c r="U68" s="40"/>
      <c r="V68" s="40"/>
      <c r="W68" s="40"/>
      <c r="X68" s="40"/>
      <c r="Y68" s="40"/>
      <c r="Z68" s="40"/>
      <c r="AA68" s="40"/>
      <c r="AB68" s="40"/>
      <c r="AC68" s="40"/>
      <c r="AD68" s="40"/>
      <c r="AI68" s="21"/>
      <c r="AJ68" s="21"/>
    </row>
    <row r="69" spans="3:36" s="20" customFormat="1" x14ac:dyDescent="0.2">
      <c r="C69" s="17" t="s">
        <v>411</v>
      </c>
      <c r="D69" s="36">
        <v>0</v>
      </c>
      <c r="E69" s="36">
        <v>0</v>
      </c>
      <c r="F69" s="36">
        <v>0</v>
      </c>
      <c r="G69" s="36">
        <v>0</v>
      </c>
      <c r="H69" s="36">
        <v>0</v>
      </c>
      <c r="I69" s="36">
        <v>0</v>
      </c>
      <c r="J69" s="36">
        <v>0</v>
      </c>
      <c r="K69" s="36">
        <v>0</v>
      </c>
      <c r="L69" s="36">
        <v>0</v>
      </c>
      <c r="M69" s="36">
        <v>0</v>
      </c>
      <c r="N69" s="36">
        <v>0</v>
      </c>
      <c r="O69" s="36">
        <v>0</v>
      </c>
      <c r="P69" s="36">
        <v>0</v>
      </c>
      <c r="Q69" s="36">
        <v>-22.012</v>
      </c>
      <c r="R69" s="36">
        <v>0</v>
      </c>
      <c r="S69" s="40"/>
      <c r="T69" s="40"/>
      <c r="U69" s="40"/>
      <c r="V69" s="40"/>
      <c r="W69" s="40"/>
      <c r="X69" s="40"/>
      <c r="Y69" s="40"/>
      <c r="Z69" s="40"/>
      <c r="AA69" s="40"/>
      <c r="AB69" s="40"/>
      <c r="AC69" s="40"/>
      <c r="AD69" s="40"/>
      <c r="AI69" s="21"/>
      <c r="AJ69" s="21"/>
    </row>
    <row r="70" spans="3:36" s="20" customFormat="1" x14ac:dyDescent="0.2">
      <c r="C70" s="17" t="s">
        <v>412</v>
      </c>
      <c r="D70" s="36">
        <v>0</v>
      </c>
      <c r="E70" s="36">
        <v>0</v>
      </c>
      <c r="F70" s="36">
        <v>0</v>
      </c>
      <c r="G70" s="36">
        <v>0</v>
      </c>
      <c r="H70" s="36">
        <v>0</v>
      </c>
      <c r="I70" s="36">
        <v>0</v>
      </c>
      <c r="J70" s="36">
        <v>0</v>
      </c>
      <c r="K70" s="36">
        <v>0</v>
      </c>
      <c r="L70" s="36">
        <v>0</v>
      </c>
      <c r="M70" s="36">
        <v>0</v>
      </c>
      <c r="N70" s="36">
        <v>0</v>
      </c>
      <c r="O70" s="36">
        <v>0</v>
      </c>
      <c r="P70" s="36">
        <v>0</v>
      </c>
      <c r="Q70" s="36">
        <v>-0.77400000000000002</v>
      </c>
      <c r="R70" s="36">
        <v>-5.8869999999999996</v>
      </c>
      <c r="S70" s="40"/>
      <c r="T70" s="40"/>
      <c r="U70" s="40"/>
      <c r="V70" s="40"/>
      <c r="W70" s="40"/>
      <c r="X70" s="40"/>
      <c r="Y70" s="40"/>
      <c r="Z70" s="40"/>
      <c r="AA70" s="40"/>
      <c r="AB70" s="40"/>
      <c r="AC70" s="40"/>
      <c r="AD70" s="40"/>
      <c r="AI70" s="21"/>
      <c r="AJ70" s="21"/>
    </row>
    <row r="71" spans="3:36" s="20" customFormat="1" x14ac:dyDescent="0.2">
      <c r="C71" s="32" t="s">
        <v>140</v>
      </c>
      <c r="D71" s="33">
        <f>SUM(D59:D70)</f>
        <v>-16.452000000000005</v>
      </c>
      <c r="E71" s="33">
        <f t="shared" ref="E71:AD71" si="5">SUM(E59:E70)</f>
        <v>-100.173</v>
      </c>
      <c r="F71" s="33">
        <f t="shared" si="5"/>
        <v>-10.813000000000002</v>
      </c>
      <c r="G71" s="33">
        <f t="shared" si="5"/>
        <v>-17.422000000000001</v>
      </c>
      <c r="H71" s="33">
        <f t="shared" si="5"/>
        <v>-15.072000000000001</v>
      </c>
      <c r="I71" s="33">
        <f t="shared" si="5"/>
        <v>-14.060000000000002</v>
      </c>
      <c r="J71" s="33">
        <f t="shared" si="5"/>
        <v>-57.367000000000004</v>
      </c>
      <c r="K71" s="33">
        <f t="shared" si="5"/>
        <v>-16.339999999999996</v>
      </c>
      <c r="L71" s="33">
        <f t="shared" si="5"/>
        <v>-17.771000000000001</v>
      </c>
      <c r="M71" s="33">
        <f t="shared" si="5"/>
        <v>4.2819999999999823</v>
      </c>
      <c r="N71" s="33">
        <f t="shared" si="5"/>
        <v>5.6260000000000279</v>
      </c>
      <c r="O71" s="33">
        <f t="shared" si="5"/>
        <v>-24.202999999999982</v>
      </c>
      <c r="P71" s="33">
        <f t="shared" si="5"/>
        <v>-47.447000000000003</v>
      </c>
      <c r="Q71" s="33">
        <f t="shared" si="5"/>
        <v>-84.903999999999996</v>
      </c>
      <c r="R71" s="33">
        <f t="shared" si="5"/>
        <v>-57.442</v>
      </c>
      <c r="S71" s="33">
        <f t="shared" si="5"/>
        <v>0</v>
      </c>
      <c r="T71" s="33">
        <f t="shared" si="5"/>
        <v>0</v>
      </c>
      <c r="U71" s="33">
        <f t="shared" si="5"/>
        <v>0</v>
      </c>
      <c r="V71" s="33">
        <f t="shared" si="5"/>
        <v>0</v>
      </c>
      <c r="W71" s="33">
        <f t="shared" si="5"/>
        <v>0</v>
      </c>
      <c r="X71" s="33">
        <f t="shared" si="5"/>
        <v>0</v>
      </c>
      <c r="Y71" s="33">
        <f t="shared" si="5"/>
        <v>0</v>
      </c>
      <c r="Z71" s="33">
        <f t="shared" si="5"/>
        <v>0</v>
      </c>
      <c r="AA71" s="33">
        <f t="shared" si="5"/>
        <v>0</v>
      </c>
      <c r="AB71" s="33">
        <f t="shared" si="5"/>
        <v>0</v>
      </c>
      <c r="AC71" s="33">
        <f t="shared" si="5"/>
        <v>0</v>
      </c>
      <c r="AD71" s="33">
        <f t="shared" si="5"/>
        <v>0</v>
      </c>
      <c r="AI71" s="21"/>
      <c r="AJ71" s="21"/>
    </row>
    <row r="72" spans="3:36" s="20" customFormat="1" ht="5.0999999999999996" customHeight="1" x14ac:dyDescent="0.2">
      <c r="C72" s="1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I72" s="21"/>
      <c r="AJ72" s="21"/>
    </row>
    <row r="73" spans="3:36" s="20" customFormat="1" x14ac:dyDescent="0.2">
      <c r="C73" s="32" t="s">
        <v>141</v>
      </c>
      <c r="D73" s="33">
        <f t="shared" ref="D73:AD73" si="6">+D71+D57+D50</f>
        <v>2.3970000000000411</v>
      </c>
      <c r="E73" s="33">
        <f t="shared" si="6"/>
        <v>27.777000000000044</v>
      </c>
      <c r="F73" s="33">
        <f t="shared" si="6"/>
        <v>-2.974000000000002</v>
      </c>
      <c r="G73" s="33">
        <f t="shared" si="6"/>
        <v>-7.7119999999999997</v>
      </c>
      <c r="H73" s="33">
        <f t="shared" si="6"/>
        <v>-10.203999999999999</v>
      </c>
      <c r="I73" s="33">
        <f t="shared" si="6"/>
        <v>2.0020000000000078</v>
      </c>
      <c r="J73" s="33">
        <f t="shared" si="6"/>
        <v>-18.887999999999991</v>
      </c>
      <c r="K73" s="33">
        <f t="shared" si="6"/>
        <v>3.6790000000000003</v>
      </c>
      <c r="L73" s="33">
        <f t="shared" si="6"/>
        <v>-0.39700000000000024</v>
      </c>
      <c r="M73" s="33">
        <f t="shared" si="6"/>
        <v>40.261999999999979</v>
      </c>
      <c r="N73" s="33">
        <f t="shared" si="6"/>
        <v>38.28799999999999</v>
      </c>
      <c r="O73" s="33">
        <f t="shared" si="6"/>
        <v>81.83200000000005</v>
      </c>
      <c r="P73" s="33">
        <f t="shared" si="6"/>
        <v>46.933000000000021</v>
      </c>
      <c r="Q73" s="33">
        <f t="shared" si="6"/>
        <v>-41.870000000000019</v>
      </c>
      <c r="R73" s="33">
        <f t="shared" si="6"/>
        <v>-7.9429999999999907</v>
      </c>
      <c r="S73" s="33">
        <f t="shared" si="6"/>
        <v>0</v>
      </c>
      <c r="T73" s="33">
        <f t="shared" si="6"/>
        <v>0</v>
      </c>
      <c r="U73" s="33">
        <f t="shared" si="6"/>
        <v>0</v>
      </c>
      <c r="V73" s="33">
        <f t="shared" si="6"/>
        <v>0</v>
      </c>
      <c r="W73" s="33">
        <f t="shared" si="6"/>
        <v>0</v>
      </c>
      <c r="X73" s="33">
        <f t="shared" si="6"/>
        <v>0</v>
      </c>
      <c r="Y73" s="33">
        <f t="shared" si="6"/>
        <v>0</v>
      </c>
      <c r="Z73" s="33">
        <f t="shared" si="6"/>
        <v>0</v>
      </c>
      <c r="AA73" s="33">
        <f t="shared" si="6"/>
        <v>0</v>
      </c>
      <c r="AB73" s="33">
        <f t="shared" si="6"/>
        <v>0</v>
      </c>
      <c r="AC73" s="33">
        <f t="shared" si="6"/>
        <v>0</v>
      </c>
      <c r="AD73" s="33">
        <f t="shared" si="6"/>
        <v>0</v>
      </c>
      <c r="AI73" s="21"/>
      <c r="AJ73" s="21"/>
    </row>
    <row r="74" spans="3:36" s="20" customFormat="1" x14ac:dyDescent="0.2">
      <c r="C74" s="17" t="s">
        <v>142</v>
      </c>
      <c r="D74" s="34">
        <v>0</v>
      </c>
      <c r="E74" s="34">
        <v>0</v>
      </c>
      <c r="F74" s="34">
        <v>0</v>
      </c>
      <c r="G74" s="34">
        <v>0</v>
      </c>
      <c r="H74" s="34">
        <v>0</v>
      </c>
      <c r="I74" s="34">
        <v>0</v>
      </c>
      <c r="J74" s="34">
        <v>0</v>
      </c>
      <c r="K74" s="34">
        <v>0</v>
      </c>
      <c r="L74" s="34">
        <v>0</v>
      </c>
      <c r="M74" s="34">
        <v>0</v>
      </c>
      <c r="N74" s="34">
        <v>0</v>
      </c>
      <c r="O74" s="34">
        <v>0</v>
      </c>
      <c r="P74" s="34">
        <v>0</v>
      </c>
      <c r="Q74" s="34">
        <v>0</v>
      </c>
      <c r="R74" s="34">
        <v>0</v>
      </c>
      <c r="AI74" s="21"/>
      <c r="AJ74" s="21"/>
    </row>
    <row r="75" spans="3:36" s="20" customFormat="1" x14ac:dyDescent="0.2">
      <c r="C75" s="17" t="s">
        <v>143</v>
      </c>
      <c r="D75" s="34">
        <v>15.12</v>
      </c>
      <c r="E75" s="39">
        <f>+D76</f>
        <v>17.517000000000039</v>
      </c>
      <c r="F75" s="39">
        <f t="shared" ref="F75:AC75" si="7">+E76</f>
        <v>45.294000000000082</v>
      </c>
      <c r="G75" s="39">
        <f t="shared" si="7"/>
        <v>42.320000000000078</v>
      </c>
      <c r="H75" s="39">
        <f t="shared" si="7"/>
        <v>34.608000000000075</v>
      </c>
      <c r="I75" s="39">
        <f t="shared" si="7"/>
        <v>24.404000000000075</v>
      </c>
      <c r="J75" s="39">
        <f>+E76</f>
        <v>45.294000000000082</v>
      </c>
      <c r="K75" s="39">
        <f t="shared" si="7"/>
        <v>26.406000000000091</v>
      </c>
      <c r="L75" s="39">
        <f t="shared" si="7"/>
        <v>30.085000000000093</v>
      </c>
      <c r="M75" s="39">
        <f t="shared" si="7"/>
        <v>29.688000000000095</v>
      </c>
      <c r="N75" s="39">
        <f t="shared" si="7"/>
        <v>69.950000000000074</v>
      </c>
      <c r="O75" s="39">
        <f>+J76</f>
        <v>26.406000000000091</v>
      </c>
      <c r="P75" s="39">
        <f t="shared" si="7"/>
        <v>108.23800000000014</v>
      </c>
      <c r="Q75" s="39">
        <f t="shared" si="7"/>
        <v>155.17100000000016</v>
      </c>
      <c r="R75" s="39">
        <f t="shared" si="7"/>
        <v>113.30100000000014</v>
      </c>
      <c r="S75" s="39">
        <f t="shared" si="7"/>
        <v>105.35800000000015</v>
      </c>
      <c r="T75" s="39">
        <f>+O76</f>
        <v>108.23800000000014</v>
      </c>
      <c r="U75" s="39">
        <f t="shared" si="7"/>
        <v>108.23800000000014</v>
      </c>
      <c r="V75" s="39">
        <f t="shared" si="7"/>
        <v>108.23800000000014</v>
      </c>
      <c r="W75" s="39">
        <f t="shared" si="7"/>
        <v>108.23800000000014</v>
      </c>
      <c r="X75" s="39">
        <f t="shared" si="7"/>
        <v>108.23800000000014</v>
      </c>
      <c r="Y75" s="39">
        <f>+T76</f>
        <v>108.23800000000014</v>
      </c>
      <c r="Z75" s="39">
        <f t="shared" si="7"/>
        <v>108.23800000000014</v>
      </c>
      <c r="AA75" s="39">
        <f t="shared" si="7"/>
        <v>108.23800000000014</v>
      </c>
      <c r="AB75" s="39">
        <f t="shared" si="7"/>
        <v>108.23800000000014</v>
      </c>
      <c r="AC75" s="39">
        <f t="shared" si="7"/>
        <v>108.23800000000014</v>
      </c>
      <c r="AD75" s="39">
        <f>+Y76</f>
        <v>108.23800000000014</v>
      </c>
      <c r="AI75" s="21"/>
      <c r="AJ75" s="21"/>
    </row>
    <row r="76" spans="3:36" s="20" customFormat="1" x14ac:dyDescent="0.2">
      <c r="C76" s="32" t="s">
        <v>144</v>
      </c>
      <c r="D76" s="33">
        <f>+D73+D74+D75</f>
        <v>17.517000000000039</v>
      </c>
      <c r="E76" s="33">
        <f>+E73+E74+E75</f>
        <v>45.294000000000082</v>
      </c>
      <c r="F76" s="33">
        <f t="shared" ref="F76:AD76" si="8">+F73+F74+F75</f>
        <v>42.320000000000078</v>
      </c>
      <c r="G76" s="33">
        <f t="shared" si="8"/>
        <v>34.608000000000075</v>
      </c>
      <c r="H76" s="33">
        <f t="shared" si="8"/>
        <v>24.404000000000075</v>
      </c>
      <c r="I76" s="33">
        <f t="shared" si="8"/>
        <v>26.406000000000084</v>
      </c>
      <c r="J76" s="33">
        <f t="shared" si="8"/>
        <v>26.406000000000091</v>
      </c>
      <c r="K76" s="33">
        <f t="shared" si="8"/>
        <v>30.085000000000093</v>
      </c>
      <c r="L76" s="33">
        <f t="shared" si="8"/>
        <v>29.688000000000095</v>
      </c>
      <c r="M76" s="33">
        <f t="shared" si="8"/>
        <v>69.950000000000074</v>
      </c>
      <c r="N76" s="33">
        <f t="shared" si="8"/>
        <v>108.23800000000006</v>
      </c>
      <c r="O76" s="33">
        <f t="shared" si="8"/>
        <v>108.23800000000014</v>
      </c>
      <c r="P76" s="33">
        <f t="shared" si="8"/>
        <v>155.17100000000016</v>
      </c>
      <c r="Q76" s="33">
        <f t="shared" si="8"/>
        <v>113.30100000000014</v>
      </c>
      <c r="R76" s="33">
        <f t="shared" si="8"/>
        <v>105.35800000000015</v>
      </c>
      <c r="S76" s="33">
        <f t="shared" si="8"/>
        <v>105.35800000000015</v>
      </c>
      <c r="T76" s="33">
        <f t="shared" si="8"/>
        <v>108.23800000000014</v>
      </c>
      <c r="U76" s="33">
        <f t="shared" si="8"/>
        <v>108.23800000000014</v>
      </c>
      <c r="V76" s="33">
        <f t="shared" si="8"/>
        <v>108.23800000000014</v>
      </c>
      <c r="W76" s="33">
        <f t="shared" si="8"/>
        <v>108.23800000000014</v>
      </c>
      <c r="X76" s="33">
        <f t="shared" si="8"/>
        <v>108.23800000000014</v>
      </c>
      <c r="Y76" s="33">
        <f t="shared" si="8"/>
        <v>108.23800000000014</v>
      </c>
      <c r="Z76" s="33">
        <f t="shared" si="8"/>
        <v>108.23800000000014</v>
      </c>
      <c r="AA76" s="33">
        <f t="shared" si="8"/>
        <v>108.23800000000014</v>
      </c>
      <c r="AB76" s="33">
        <f t="shared" si="8"/>
        <v>108.23800000000014</v>
      </c>
      <c r="AC76" s="33">
        <f t="shared" si="8"/>
        <v>108.23800000000014</v>
      </c>
      <c r="AD76" s="33">
        <f t="shared" si="8"/>
        <v>108.23800000000014</v>
      </c>
      <c r="AI76" s="21"/>
      <c r="AJ76" s="21"/>
    </row>
    <row r="77" spans="3:36" s="20" customFormat="1" x14ac:dyDescent="0.2">
      <c r="C77" s="17"/>
      <c r="D77" s="37"/>
      <c r="E77" s="37"/>
      <c r="F77" s="37"/>
      <c r="G77" s="37"/>
      <c r="H77" s="37"/>
      <c r="I77" s="37"/>
      <c r="J77" s="37"/>
      <c r="K77" s="37"/>
      <c r="L77" s="37"/>
      <c r="M77" s="37"/>
      <c r="N77" s="37"/>
      <c r="O77" s="37"/>
      <c r="P77" s="37"/>
      <c r="Q77" s="37"/>
      <c r="R77" s="37"/>
      <c r="AI77" s="21"/>
      <c r="AJ77" s="21"/>
    </row>
    <row r="78" spans="3:36" s="20" customFormat="1" x14ac:dyDescent="0.2">
      <c r="C78" s="30" t="s">
        <v>145</v>
      </c>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I78" s="21"/>
      <c r="AJ78" s="21"/>
    </row>
    <row r="79" spans="3:36" s="20" customFormat="1" x14ac:dyDescent="0.2">
      <c r="C79" s="17" t="s">
        <v>413</v>
      </c>
      <c r="D79" s="36">
        <v>838.86300000000006</v>
      </c>
      <c r="E79" s="36">
        <v>901.76499999999999</v>
      </c>
      <c r="F79" s="36">
        <v>895.61</v>
      </c>
      <c r="G79" s="36">
        <v>880.57100000000003</v>
      </c>
      <c r="H79" s="36">
        <v>847.02200000000005</v>
      </c>
      <c r="I79" s="36">
        <v>821.43399999999997</v>
      </c>
      <c r="J79" s="36">
        <v>821.43399999999997</v>
      </c>
      <c r="K79" s="36">
        <v>796.34299999999996</v>
      </c>
      <c r="L79" s="36">
        <v>780.10199999999998</v>
      </c>
      <c r="M79" s="36">
        <v>797.58299999999997</v>
      </c>
      <c r="N79" s="36">
        <v>809.298</v>
      </c>
      <c r="O79" s="36">
        <v>809.298</v>
      </c>
      <c r="P79" s="36">
        <v>797.41499999999996</v>
      </c>
      <c r="Q79" s="36">
        <v>813.41399999999999</v>
      </c>
      <c r="R79" s="36">
        <v>805.28800000000001</v>
      </c>
      <c r="S79" s="40"/>
      <c r="T79" s="40"/>
      <c r="U79" s="40"/>
      <c r="V79" s="40"/>
      <c r="W79" s="40"/>
      <c r="X79" s="40"/>
      <c r="Y79" s="40"/>
      <c r="Z79" s="40"/>
      <c r="AA79" s="40"/>
      <c r="AB79" s="40"/>
      <c r="AC79" s="40"/>
      <c r="AD79" s="40"/>
      <c r="AI79" s="21"/>
      <c r="AJ79" s="21"/>
    </row>
    <row r="80" spans="3:36" s="20" customFormat="1" x14ac:dyDescent="0.2">
      <c r="C80" s="17" t="s">
        <v>414</v>
      </c>
      <c r="D80" s="36">
        <v>119.449</v>
      </c>
      <c r="E80" s="36">
        <v>4.3120000000000003</v>
      </c>
      <c r="F80" s="36"/>
      <c r="G80" s="36">
        <v>0</v>
      </c>
      <c r="H80" s="36">
        <v>0</v>
      </c>
      <c r="I80" s="36">
        <v>0</v>
      </c>
      <c r="J80" s="36">
        <v>0</v>
      </c>
      <c r="K80" s="36">
        <v>0</v>
      </c>
      <c r="L80" s="36">
        <v>0</v>
      </c>
      <c r="M80" s="36">
        <v>0</v>
      </c>
      <c r="N80" s="36">
        <v>0</v>
      </c>
      <c r="O80" s="36">
        <v>0</v>
      </c>
      <c r="P80" s="36">
        <v>0</v>
      </c>
      <c r="Q80" s="36">
        <v>0</v>
      </c>
      <c r="R80" s="36">
        <v>0</v>
      </c>
      <c r="S80" s="40"/>
      <c r="T80" s="40"/>
      <c r="U80" s="40"/>
      <c r="V80" s="40"/>
      <c r="W80" s="40"/>
      <c r="X80" s="40"/>
      <c r="Y80" s="40"/>
      <c r="Z80" s="40"/>
      <c r="AA80" s="40"/>
      <c r="AB80" s="40"/>
      <c r="AC80" s="40"/>
      <c r="AD80" s="40"/>
      <c r="AI80" s="21"/>
      <c r="AJ80" s="21"/>
    </row>
    <row r="81" spans="3:36" s="20" customFormat="1" x14ac:dyDescent="0.2">
      <c r="C81" s="17" t="s">
        <v>415</v>
      </c>
      <c r="D81" s="36">
        <v>4.3819999999999997</v>
      </c>
      <c r="E81" s="36">
        <v>12.11</v>
      </c>
      <c r="F81" s="36">
        <v>4.3120000000000003</v>
      </c>
      <c r="G81" s="36">
        <v>0</v>
      </c>
      <c r="H81" s="36">
        <v>0</v>
      </c>
      <c r="I81" s="36">
        <v>0</v>
      </c>
      <c r="J81" s="36">
        <v>0</v>
      </c>
      <c r="K81" s="36">
        <v>0</v>
      </c>
      <c r="L81" s="36">
        <v>0</v>
      </c>
      <c r="M81" s="36">
        <v>0</v>
      </c>
      <c r="N81" s="36">
        <v>0</v>
      </c>
      <c r="O81" s="36">
        <v>0</v>
      </c>
      <c r="P81" s="36">
        <v>0</v>
      </c>
      <c r="Q81" s="36">
        <v>0</v>
      </c>
      <c r="R81" s="36">
        <v>0</v>
      </c>
      <c r="S81" s="40"/>
      <c r="T81" s="40"/>
      <c r="U81" s="40"/>
      <c r="V81" s="40"/>
      <c r="W81" s="40"/>
      <c r="X81" s="40"/>
      <c r="Y81" s="40"/>
      <c r="Z81" s="40"/>
      <c r="AA81" s="40"/>
      <c r="AB81" s="40"/>
      <c r="AC81" s="40"/>
      <c r="AD81" s="40"/>
      <c r="AI81" s="21"/>
      <c r="AJ81" s="21"/>
    </row>
    <row r="82" spans="3:36" s="20" customFormat="1" x14ac:dyDescent="0.2">
      <c r="C82" s="17" t="s">
        <v>416</v>
      </c>
      <c r="D82" s="36">
        <v>17.347999999999999</v>
      </c>
      <c r="E82" s="36"/>
      <c r="F82" s="36">
        <v>11.305</v>
      </c>
      <c r="G82" s="36">
        <v>11.09</v>
      </c>
      <c r="H82" s="36">
        <v>10.346</v>
      </c>
      <c r="I82" s="36">
        <v>9.8490000000000002</v>
      </c>
      <c r="J82" s="36">
        <v>9.8490000000000002</v>
      </c>
      <c r="K82" s="36">
        <v>12.076000000000001</v>
      </c>
      <c r="L82" s="36">
        <v>15.867000000000001</v>
      </c>
      <c r="M82" s="36">
        <v>11.887</v>
      </c>
      <c r="N82" s="36">
        <v>9.1029999999999998</v>
      </c>
      <c r="O82" s="36">
        <v>9.1029999999999998</v>
      </c>
      <c r="P82" s="36">
        <v>4.1849999999999996</v>
      </c>
      <c r="Q82" s="36">
        <v>4.883</v>
      </c>
      <c r="R82" s="36">
        <v>4.944</v>
      </c>
      <c r="S82" s="40"/>
      <c r="T82" s="40"/>
      <c r="U82" s="40"/>
      <c r="V82" s="40"/>
      <c r="W82" s="40"/>
      <c r="X82" s="40"/>
      <c r="Y82" s="40"/>
      <c r="Z82" s="40"/>
      <c r="AA82" s="40"/>
      <c r="AB82" s="40"/>
      <c r="AC82" s="40"/>
      <c r="AD82" s="40"/>
      <c r="AI82" s="21"/>
      <c r="AJ82" s="21"/>
    </row>
    <row r="83" spans="3:36" s="20" customFormat="1" x14ac:dyDescent="0.2">
      <c r="C83" s="32" t="s">
        <v>156</v>
      </c>
      <c r="D83" s="33">
        <f t="shared" ref="D83:AD83" si="9">+SUM(D79:D82)</f>
        <v>980.04199999999992</v>
      </c>
      <c r="E83" s="33">
        <f t="shared" si="9"/>
        <v>918.18700000000001</v>
      </c>
      <c r="F83" s="33">
        <f t="shared" si="9"/>
        <v>911.22699999999998</v>
      </c>
      <c r="G83" s="33">
        <f t="shared" si="9"/>
        <v>891.66100000000006</v>
      </c>
      <c r="H83" s="33">
        <f t="shared" si="9"/>
        <v>857.36800000000005</v>
      </c>
      <c r="I83" s="33">
        <f t="shared" si="9"/>
        <v>831.28300000000002</v>
      </c>
      <c r="J83" s="33">
        <f t="shared" si="9"/>
        <v>831.28300000000002</v>
      </c>
      <c r="K83" s="33">
        <f t="shared" si="9"/>
        <v>808.41899999999998</v>
      </c>
      <c r="L83" s="33">
        <f t="shared" si="9"/>
        <v>795.96899999999994</v>
      </c>
      <c r="M83" s="33">
        <f t="shared" si="9"/>
        <v>809.47</v>
      </c>
      <c r="N83" s="33">
        <f t="shared" si="9"/>
        <v>818.40099999999995</v>
      </c>
      <c r="O83" s="33">
        <f t="shared" si="9"/>
        <v>818.40099999999995</v>
      </c>
      <c r="P83" s="33">
        <f t="shared" si="9"/>
        <v>801.59999999999991</v>
      </c>
      <c r="Q83" s="33">
        <f t="shared" si="9"/>
        <v>818.29700000000003</v>
      </c>
      <c r="R83" s="33">
        <f t="shared" si="9"/>
        <v>810.23199999999997</v>
      </c>
      <c r="S83" s="33">
        <f t="shared" si="9"/>
        <v>0</v>
      </c>
      <c r="T83" s="33">
        <f t="shared" si="9"/>
        <v>0</v>
      </c>
      <c r="U83" s="33">
        <f t="shared" si="9"/>
        <v>0</v>
      </c>
      <c r="V83" s="33">
        <f t="shared" si="9"/>
        <v>0</v>
      </c>
      <c r="W83" s="33">
        <f t="shared" si="9"/>
        <v>0</v>
      </c>
      <c r="X83" s="33">
        <f t="shared" si="9"/>
        <v>0</v>
      </c>
      <c r="Y83" s="33">
        <f t="shared" si="9"/>
        <v>0</v>
      </c>
      <c r="Z83" s="33">
        <f t="shared" si="9"/>
        <v>0</v>
      </c>
      <c r="AA83" s="33">
        <f t="shared" si="9"/>
        <v>0</v>
      </c>
      <c r="AB83" s="33">
        <f t="shared" si="9"/>
        <v>0</v>
      </c>
      <c r="AC83" s="33">
        <f t="shared" si="9"/>
        <v>0</v>
      </c>
      <c r="AD83" s="33">
        <f t="shared" si="9"/>
        <v>0</v>
      </c>
      <c r="AI83" s="21"/>
      <c r="AJ83" s="21"/>
    </row>
    <row r="84" spans="3:36" s="20" customFormat="1" ht="5.0999999999999996" customHeight="1" x14ac:dyDescent="0.2">
      <c r="C84" s="17"/>
      <c r="D84" s="37"/>
      <c r="E84" s="37"/>
      <c r="F84" s="37"/>
      <c r="G84" s="37"/>
      <c r="H84" s="37"/>
      <c r="I84" s="37"/>
      <c r="J84" s="37"/>
      <c r="K84" s="37"/>
      <c r="L84" s="37"/>
      <c r="M84" s="37"/>
      <c r="N84" s="37"/>
      <c r="O84" s="37"/>
      <c r="P84" s="37"/>
      <c r="Q84" s="37"/>
      <c r="R84" s="37"/>
      <c r="AI84" s="21"/>
      <c r="AJ84" s="21"/>
    </row>
    <row r="85" spans="3:36" s="20" customFormat="1" x14ac:dyDescent="0.2">
      <c r="C85" s="17" t="s">
        <v>115</v>
      </c>
      <c r="D85" s="36">
        <v>10.08</v>
      </c>
      <c r="E85" s="36">
        <v>8.8849999999999998</v>
      </c>
      <c r="F85" s="36">
        <v>9.8469999999999995</v>
      </c>
      <c r="G85" s="36">
        <v>10.743</v>
      </c>
      <c r="H85" s="36">
        <v>10.477</v>
      </c>
      <c r="I85" s="36">
        <v>11.643000000000001</v>
      </c>
      <c r="J85" s="36">
        <v>11.643000000000001</v>
      </c>
      <c r="K85" s="36">
        <v>13.515000000000001</v>
      </c>
      <c r="L85" s="36">
        <v>17.922000000000001</v>
      </c>
      <c r="M85" s="36">
        <v>20.879000000000001</v>
      </c>
      <c r="N85" s="36">
        <v>18.303000000000001</v>
      </c>
      <c r="O85" s="36">
        <v>18.303000000000001</v>
      </c>
      <c r="P85" s="36">
        <v>13.492000000000001</v>
      </c>
      <c r="Q85" s="36">
        <v>14.663</v>
      </c>
      <c r="R85" s="36">
        <v>15.608000000000001</v>
      </c>
      <c r="S85" s="40"/>
      <c r="T85" s="40"/>
      <c r="U85" s="40"/>
      <c r="V85" s="40"/>
      <c r="W85" s="40"/>
      <c r="X85" s="40"/>
      <c r="Y85" s="40"/>
      <c r="Z85" s="40"/>
      <c r="AA85" s="40"/>
      <c r="AB85" s="40"/>
      <c r="AC85" s="40"/>
      <c r="AD85" s="40"/>
      <c r="AI85" s="21"/>
      <c r="AJ85" s="21"/>
    </row>
    <row r="86" spans="3:36" s="20" customFormat="1" x14ac:dyDescent="0.2">
      <c r="C86" s="17" t="s">
        <v>417</v>
      </c>
      <c r="D86" s="36">
        <v>41.433</v>
      </c>
      <c r="E86" s="36">
        <v>38.722000000000001</v>
      </c>
      <c r="F86" s="36">
        <v>36.036000000000001</v>
      </c>
      <c r="G86" s="36">
        <v>31.234999999999999</v>
      </c>
      <c r="H86" s="36">
        <v>33.048000000000002</v>
      </c>
      <c r="I86" s="36">
        <v>37.103999999999999</v>
      </c>
      <c r="J86" s="36">
        <v>37.103999999999999</v>
      </c>
      <c r="K86" s="36">
        <v>38.287999999999997</v>
      </c>
      <c r="L86" s="36">
        <v>71.063999999999993</v>
      </c>
      <c r="M86" s="36">
        <v>74.144000000000005</v>
      </c>
      <c r="N86" s="36">
        <v>91.498000000000005</v>
      </c>
      <c r="O86" s="36">
        <v>91.498000000000005</v>
      </c>
      <c r="P86" s="36">
        <v>77.703999999999994</v>
      </c>
      <c r="Q86" s="36">
        <v>57.115000000000002</v>
      </c>
      <c r="R86" s="36">
        <v>74.838999999999999</v>
      </c>
      <c r="S86" s="40"/>
      <c r="T86" s="40"/>
      <c r="U86" s="40"/>
      <c r="V86" s="40"/>
      <c r="W86" s="40"/>
      <c r="X86" s="40"/>
      <c r="Y86" s="40"/>
      <c r="Z86" s="40"/>
      <c r="AA86" s="40"/>
      <c r="AB86" s="40"/>
      <c r="AC86" s="40"/>
      <c r="AD86" s="40"/>
      <c r="AI86" s="21"/>
      <c r="AJ86" s="21"/>
    </row>
    <row r="87" spans="3:36" s="20" customFormat="1" x14ac:dyDescent="0.2">
      <c r="C87" s="17" t="s">
        <v>418</v>
      </c>
      <c r="D87" s="36">
        <v>7.2649999999999997</v>
      </c>
      <c r="E87" s="36">
        <v>4.7249999999999996</v>
      </c>
      <c r="F87" s="36">
        <v>4.1790000000000003</v>
      </c>
      <c r="G87" s="36">
        <v>3.7839999999999998</v>
      </c>
      <c r="H87" s="36">
        <v>3.2610000000000001</v>
      </c>
      <c r="I87" s="36">
        <v>2.6739999999999999</v>
      </c>
      <c r="J87" s="36">
        <v>2.6739999999999999</v>
      </c>
      <c r="K87" s="36">
        <v>4.1230000000000002</v>
      </c>
      <c r="L87" s="36">
        <v>2.6859999999999999</v>
      </c>
      <c r="M87" s="36">
        <v>6.89</v>
      </c>
      <c r="N87" s="36">
        <v>8.7870000000000008</v>
      </c>
      <c r="O87" s="36">
        <v>8.7870000000000008</v>
      </c>
      <c r="P87" s="36">
        <v>9.3529999999999998</v>
      </c>
      <c r="Q87" s="36">
        <v>6.2809999999999997</v>
      </c>
      <c r="R87" s="36">
        <v>4.58</v>
      </c>
      <c r="S87" s="40"/>
      <c r="T87" s="40"/>
      <c r="U87" s="40"/>
      <c r="V87" s="40"/>
      <c r="W87" s="40"/>
      <c r="X87" s="40"/>
      <c r="Y87" s="40"/>
      <c r="Z87" s="40"/>
      <c r="AA87" s="40"/>
      <c r="AB87" s="40"/>
      <c r="AC87" s="40"/>
      <c r="AD87" s="40"/>
      <c r="AI87" s="21"/>
      <c r="AJ87" s="21"/>
    </row>
    <row r="88" spans="3:36" s="20" customFormat="1" x14ac:dyDescent="0.2">
      <c r="C88" s="17" t="s">
        <v>154</v>
      </c>
      <c r="D88" s="36">
        <v>33.597999999999999</v>
      </c>
      <c r="E88" s="36">
        <v>62.070999999999998</v>
      </c>
      <c r="F88" s="36">
        <v>56.055</v>
      </c>
      <c r="G88" s="36">
        <v>48.715000000000003</v>
      </c>
      <c r="H88" s="36">
        <v>42.045000000000002</v>
      </c>
      <c r="I88" s="36">
        <v>43.414999999999999</v>
      </c>
      <c r="J88" s="36">
        <v>43.414999999999999</v>
      </c>
      <c r="K88" s="36">
        <v>45.438000000000002</v>
      </c>
      <c r="L88" s="36">
        <v>46.04</v>
      </c>
      <c r="M88" s="36">
        <v>85.135000000000005</v>
      </c>
      <c r="N88" s="36">
        <v>117.896</v>
      </c>
      <c r="O88" s="36">
        <v>117.896</v>
      </c>
      <c r="P88" s="36">
        <v>155.17099999999999</v>
      </c>
      <c r="Q88" s="36">
        <v>113.301</v>
      </c>
      <c r="R88" s="36">
        <v>105.358</v>
      </c>
      <c r="S88" s="40"/>
      <c r="T88" s="40"/>
      <c r="U88" s="40"/>
      <c r="V88" s="40"/>
      <c r="W88" s="40"/>
      <c r="X88" s="40"/>
      <c r="Y88" s="40"/>
      <c r="Z88" s="40"/>
      <c r="AA88" s="40"/>
      <c r="AB88" s="40"/>
      <c r="AC88" s="40"/>
      <c r="AD88" s="40"/>
      <c r="AI88" s="21"/>
      <c r="AJ88" s="21"/>
    </row>
    <row r="89" spans="3:36" s="20" customFormat="1" x14ac:dyDescent="0.2">
      <c r="C89" s="17" t="s">
        <v>419</v>
      </c>
      <c r="D89" s="36">
        <v>59.631</v>
      </c>
      <c r="E89" s="36">
        <v>0</v>
      </c>
      <c r="F89" s="36">
        <v>0</v>
      </c>
      <c r="G89" s="36">
        <v>0</v>
      </c>
      <c r="H89" s="36">
        <v>10.486000000000001</v>
      </c>
      <c r="I89" s="36">
        <v>10.196999999999999</v>
      </c>
      <c r="J89" s="36">
        <v>10.196999999999999</v>
      </c>
      <c r="K89" s="36">
        <v>9.1080000000000005</v>
      </c>
      <c r="L89" s="36">
        <v>0</v>
      </c>
      <c r="M89" s="36">
        <v>0</v>
      </c>
      <c r="N89" s="36">
        <v>0</v>
      </c>
      <c r="O89" s="36">
        <v>0</v>
      </c>
      <c r="P89" s="36">
        <v>0</v>
      </c>
      <c r="Q89" s="36">
        <v>0</v>
      </c>
      <c r="R89" s="36">
        <v>0</v>
      </c>
      <c r="S89" s="40"/>
      <c r="T89" s="40"/>
      <c r="U89" s="40"/>
      <c r="V89" s="40"/>
      <c r="W89" s="40"/>
      <c r="X89" s="40"/>
      <c r="Y89" s="40"/>
      <c r="Z89" s="40"/>
      <c r="AA89" s="40"/>
      <c r="AB89" s="40"/>
      <c r="AC89" s="40"/>
      <c r="AD89" s="40"/>
      <c r="AI89" s="21"/>
      <c r="AJ89" s="21"/>
    </row>
    <row r="90" spans="3:36" s="20" customFormat="1" x14ac:dyDescent="0.2">
      <c r="C90" s="17" t="s">
        <v>420</v>
      </c>
      <c r="D90" s="36">
        <v>0</v>
      </c>
      <c r="E90" s="36">
        <v>0</v>
      </c>
      <c r="F90" s="36">
        <v>0</v>
      </c>
      <c r="G90" s="36">
        <v>0</v>
      </c>
      <c r="H90" s="36">
        <v>0</v>
      </c>
      <c r="I90" s="36">
        <v>0</v>
      </c>
      <c r="J90" s="36">
        <v>0</v>
      </c>
      <c r="K90" s="36">
        <v>0</v>
      </c>
      <c r="L90" s="36">
        <v>0</v>
      </c>
      <c r="M90" s="36">
        <v>0</v>
      </c>
      <c r="N90" s="36">
        <v>0</v>
      </c>
      <c r="O90" s="36">
        <v>0</v>
      </c>
      <c r="P90" s="36">
        <v>0</v>
      </c>
      <c r="Q90" s="36">
        <v>0</v>
      </c>
      <c r="R90" s="36">
        <v>0</v>
      </c>
      <c r="S90" s="40"/>
      <c r="T90" s="40"/>
      <c r="U90" s="40"/>
      <c r="V90" s="40"/>
      <c r="W90" s="40"/>
      <c r="X90" s="40"/>
      <c r="Y90" s="40"/>
      <c r="Z90" s="40"/>
      <c r="AA90" s="40"/>
      <c r="AB90" s="40"/>
      <c r="AC90" s="40"/>
      <c r="AD90" s="40"/>
      <c r="AI90" s="21"/>
      <c r="AJ90" s="21"/>
    </row>
    <row r="91" spans="3:36" s="20" customFormat="1" x14ac:dyDescent="0.2">
      <c r="C91" s="32" t="s">
        <v>155</v>
      </c>
      <c r="D91" s="33">
        <f t="shared" ref="D91:AD91" si="10">SUM(D85:D90)</f>
        <v>152.00700000000001</v>
      </c>
      <c r="E91" s="33">
        <f t="shared" si="10"/>
        <v>114.40299999999999</v>
      </c>
      <c r="F91" s="33">
        <f t="shared" si="10"/>
        <v>106.117</v>
      </c>
      <c r="G91" s="33">
        <f t="shared" si="10"/>
        <v>94.477000000000004</v>
      </c>
      <c r="H91" s="33">
        <f t="shared" si="10"/>
        <v>99.317000000000021</v>
      </c>
      <c r="I91" s="33">
        <f t="shared" si="10"/>
        <v>105.033</v>
      </c>
      <c r="J91" s="33">
        <f t="shared" si="10"/>
        <v>105.033</v>
      </c>
      <c r="K91" s="33">
        <f t="shared" si="10"/>
        <v>110.47200000000001</v>
      </c>
      <c r="L91" s="33">
        <f t="shared" si="10"/>
        <v>137.71199999999999</v>
      </c>
      <c r="M91" s="33">
        <f t="shared" si="10"/>
        <v>187.048</v>
      </c>
      <c r="N91" s="33">
        <f t="shared" si="10"/>
        <v>236.48400000000001</v>
      </c>
      <c r="O91" s="33">
        <f t="shared" si="10"/>
        <v>236.48400000000001</v>
      </c>
      <c r="P91" s="33">
        <f t="shared" si="10"/>
        <v>255.71999999999997</v>
      </c>
      <c r="Q91" s="33">
        <f t="shared" si="10"/>
        <v>191.36</v>
      </c>
      <c r="R91" s="33">
        <f t="shared" si="10"/>
        <v>200.38499999999999</v>
      </c>
      <c r="S91" s="33">
        <f t="shared" si="10"/>
        <v>0</v>
      </c>
      <c r="T91" s="33">
        <f t="shared" si="10"/>
        <v>0</v>
      </c>
      <c r="U91" s="33">
        <f t="shared" si="10"/>
        <v>0</v>
      </c>
      <c r="V91" s="33">
        <f t="shared" si="10"/>
        <v>0</v>
      </c>
      <c r="W91" s="33">
        <f t="shared" si="10"/>
        <v>0</v>
      </c>
      <c r="X91" s="33">
        <f t="shared" si="10"/>
        <v>0</v>
      </c>
      <c r="Y91" s="33">
        <f t="shared" si="10"/>
        <v>0</v>
      </c>
      <c r="Z91" s="33">
        <f t="shared" si="10"/>
        <v>0</v>
      </c>
      <c r="AA91" s="33">
        <f t="shared" si="10"/>
        <v>0</v>
      </c>
      <c r="AB91" s="33">
        <f t="shared" si="10"/>
        <v>0</v>
      </c>
      <c r="AC91" s="33">
        <f t="shared" si="10"/>
        <v>0</v>
      </c>
      <c r="AD91" s="33">
        <f t="shared" si="10"/>
        <v>0</v>
      </c>
      <c r="AI91" s="21"/>
      <c r="AJ91" s="21"/>
    </row>
    <row r="92" spans="3:36" s="20" customFormat="1" ht="5.0999999999999996" customHeight="1" x14ac:dyDescent="0.2">
      <c r="C92" s="17"/>
      <c r="D92" s="37"/>
      <c r="E92" s="37"/>
      <c r="F92" s="37"/>
      <c r="G92" s="37"/>
      <c r="H92" s="37"/>
      <c r="I92" s="37"/>
      <c r="J92" s="37"/>
      <c r="K92" s="37"/>
      <c r="L92" s="37"/>
      <c r="M92" s="37"/>
      <c r="N92" s="37"/>
      <c r="O92" s="37"/>
      <c r="P92" s="37"/>
      <c r="Q92" s="37"/>
      <c r="R92" s="37"/>
      <c r="AI92" s="21"/>
      <c r="AJ92" s="21"/>
    </row>
    <row r="93" spans="3:36" s="20" customFormat="1" x14ac:dyDescent="0.2">
      <c r="C93" s="17" t="s">
        <v>421</v>
      </c>
      <c r="D93" s="34">
        <v>270.16899999999998</v>
      </c>
      <c r="E93" s="34">
        <v>263.089</v>
      </c>
      <c r="F93" s="34">
        <v>258.94600000000003</v>
      </c>
      <c r="G93" s="34">
        <v>232.11500000000001</v>
      </c>
      <c r="H93" s="34">
        <v>212.017</v>
      </c>
      <c r="I93" s="34">
        <v>226.77099999999999</v>
      </c>
      <c r="J93" s="34">
        <v>226.77099999999999</v>
      </c>
      <c r="K93" s="34">
        <v>202.73400000000001</v>
      </c>
      <c r="L93" s="34">
        <v>184.916</v>
      </c>
      <c r="M93" s="34">
        <v>241.23099999999999</v>
      </c>
      <c r="N93" s="34">
        <v>266.12400000000002</v>
      </c>
      <c r="O93" s="34">
        <v>266.12400000000002</v>
      </c>
      <c r="P93" s="34">
        <v>236.56399999999999</v>
      </c>
      <c r="Q93" s="34">
        <v>245.41399999999999</v>
      </c>
      <c r="R93" s="34">
        <v>243.66200000000001</v>
      </c>
      <c r="S93" s="40"/>
      <c r="T93" s="40"/>
      <c r="U93" s="40"/>
      <c r="V93" s="40"/>
      <c r="W93" s="40"/>
      <c r="X93" s="40"/>
      <c r="Y93" s="40"/>
      <c r="Z93" s="40"/>
      <c r="AA93" s="40"/>
      <c r="AB93" s="40"/>
      <c r="AC93" s="40"/>
      <c r="AD93" s="40"/>
      <c r="AI93" s="21"/>
      <c r="AJ93" s="21"/>
    </row>
    <row r="94" spans="3:36" s="20" customFormat="1" x14ac:dyDescent="0.2">
      <c r="C94" s="17" t="s">
        <v>422</v>
      </c>
      <c r="D94" s="34">
        <v>313.41800000000001</v>
      </c>
      <c r="E94" s="34">
        <v>269.94099999999997</v>
      </c>
      <c r="F94" s="34">
        <v>270.79399999999998</v>
      </c>
      <c r="G94" s="34">
        <v>257.62700000000001</v>
      </c>
      <c r="H94" s="34">
        <v>246.779</v>
      </c>
      <c r="I94" s="34">
        <v>237.47800000000001</v>
      </c>
      <c r="J94" s="34">
        <v>237.47800000000001</v>
      </c>
      <c r="K94" s="34">
        <v>232.78299999999999</v>
      </c>
      <c r="L94" s="34">
        <v>180.94900000000001</v>
      </c>
      <c r="M94" s="34">
        <v>204.614</v>
      </c>
      <c r="N94" s="34">
        <v>150.22499999999999</v>
      </c>
      <c r="O94" s="34">
        <v>150.22499999999999</v>
      </c>
      <c r="P94" s="34">
        <v>81.915000000000006</v>
      </c>
      <c r="Q94" s="34">
        <v>77.968999999999994</v>
      </c>
      <c r="R94" s="34">
        <v>77.483999999999995</v>
      </c>
      <c r="S94" s="40"/>
      <c r="T94" s="40"/>
      <c r="U94" s="40"/>
      <c r="V94" s="40"/>
      <c r="W94" s="40"/>
      <c r="X94" s="40"/>
      <c r="Y94" s="40"/>
      <c r="Z94" s="40"/>
      <c r="AA94" s="40"/>
      <c r="AB94" s="40"/>
      <c r="AC94" s="40"/>
      <c r="AD94" s="40"/>
      <c r="AI94" s="21"/>
      <c r="AJ94" s="21"/>
    </row>
    <row r="95" spans="3:36" s="20" customFormat="1" x14ac:dyDescent="0.2">
      <c r="C95" s="17" t="s">
        <v>423</v>
      </c>
      <c r="D95" s="34">
        <v>0</v>
      </c>
      <c r="E95" s="34">
        <v>0</v>
      </c>
      <c r="F95" s="34">
        <v>0</v>
      </c>
      <c r="G95" s="34">
        <v>0</v>
      </c>
      <c r="H95" s="34">
        <v>0</v>
      </c>
      <c r="I95" s="34">
        <v>0</v>
      </c>
      <c r="J95" s="34">
        <v>0</v>
      </c>
      <c r="K95" s="34">
        <v>0</v>
      </c>
      <c r="L95" s="34">
        <v>0</v>
      </c>
      <c r="M95" s="34">
        <v>0</v>
      </c>
      <c r="N95" s="34">
        <v>0</v>
      </c>
      <c r="O95" s="34">
        <v>0</v>
      </c>
      <c r="P95" s="34">
        <v>0</v>
      </c>
      <c r="Q95" s="34">
        <v>0</v>
      </c>
      <c r="R95" s="34">
        <v>0</v>
      </c>
      <c r="S95" s="40"/>
      <c r="T95" s="40"/>
      <c r="U95" s="40"/>
      <c r="V95" s="40"/>
      <c r="W95" s="40"/>
      <c r="X95" s="40"/>
      <c r="Y95" s="40"/>
      <c r="Z95" s="40"/>
      <c r="AA95" s="40"/>
      <c r="AB95" s="40"/>
      <c r="AC95" s="40"/>
      <c r="AD95" s="40"/>
      <c r="AI95" s="21"/>
      <c r="AJ95" s="21"/>
    </row>
    <row r="96" spans="3:36" s="20" customFormat="1" x14ac:dyDescent="0.2">
      <c r="C96" s="17" t="s">
        <v>424</v>
      </c>
      <c r="D96" s="34">
        <v>7.282</v>
      </c>
      <c r="E96" s="34">
        <v>6.3520000000000003</v>
      </c>
      <c r="F96" s="34">
        <v>4.6619999999999999</v>
      </c>
      <c r="G96" s="34">
        <v>3.7</v>
      </c>
      <c r="H96" s="34">
        <v>2.95</v>
      </c>
      <c r="I96" s="34">
        <v>1.8620000000000001</v>
      </c>
      <c r="J96" s="34">
        <v>1.8620000000000001</v>
      </c>
      <c r="K96" s="34">
        <v>0.70599999999999996</v>
      </c>
      <c r="L96" s="34">
        <v>0.53400000000000003</v>
      </c>
      <c r="M96" s="34">
        <v>3.7770000000000001</v>
      </c>
      <c r="N96" s="34">
        <v>3.3319999999999999</v>
      </c>
      <c r="O96" s="34">
        <v>3.3319999999999999</v>
      </c>
      <c r="P96" s="34">
        <v>3.153</v>
      </c>
      <c r="Q96" s="34">
        <v>2.8690000000000002</v>
      </c>
      <c r="R96" s="34">
        <v>2.7480000000000002</v>
      </c>
      <c r="S96" s="40"/>
      <c r="T96" s="40"/>
      <c r="U96" s="40"/>
      <c r="V96" s="40"/>
      <c r="W96" s="40"/>
      <c r="X96" s="40"/>
      <c r="Y96" s="40"/>
      <c r="Z96" s="40"/>
      <c r="AA96" s="40"/>
      <c r="AB96" s="40"/>
      <c r="AC96" s="40"/>
      <c r="AD96" s="40"/>
      <c r="AI96" s="21"/>
      <c r="AJ96" s="21"/>
    </row>
    <row r="97" spans="3:36" s="20" customFormat="1" x14ac:dyDescent="0.2">
      <c r="C97" s="32" t="s">
        <v>160</v>
      </c>
      <c r="D97" s="33">
        <f>SUM(D93:D96)</f>
        <v>590.86900000000003</v>
      </c>
      <c r="E97" s="33">
        <f t="shared" ref="E97:AD97" si="11">SUM(E93:E96)</f>
        <v>539.38199999999995</v>
      </c>
      <c r="F97" s="33">
        <f t="shared" si="11"/>
        <v>534.40200000000004</v>
      </c>
      <c r="G97" s="33">
        <f t="shared" si="11"/>
        <v>493.44200000000001</v>
      </c>
      <c r="H97" s="33">
        <f t="shared" si="11"/>
        <v>461.74599999999998</v>
      </c>
      <c r="I97" s="33">
        <f t="shared" si="11"/>
        <v>466.11100000000005</v>
      </c>
      <c r="J97" s="33">
        <f t="shared" si="11"/>
        <v>466.11100000000005</v>
      </c>
      <c r="K97" s="33">
        <f t="shared" si="11"/>
        <v>436.22300000000001</v>
      </c>
      <c r="L97" s="33">
        <f t="shared" si="11"/>
        <v>366.399</v>
      </c>
      <c r="M97" s="33">
        <f t="shared" si="11"/>
        <v>449.62200000000001</v>
      </c>
      <c r="N97" s="33">
        <f t="shared" si="11"/>
        <v>419.68100000000004</v>
      </c>
      <c r="O97" s="33">
        <f t="shared" si="11"/>
        <v>419.68100000000004</v>
      </c>
      <c r="P97" s="33">
        <f t="shared" si="11"/>
        <v>321.63200000000001</v>
      </c>
      <c r="Q97" s="33">
        <f t="shared" si="11"/>
        <v>326.25200000000001</v>
      </c>
      <c r="R97" s="33">
        <f t="shared" si="11"/>
        <v>323.89400000000001</v>
      </c>
      <c r="S97" s="33">
        <f t="shared" si="11"/>
        <v>0</v>
      </c>
      <c r="T97" s="33">
        <f t="shared" si="11"/>
        <v>0</v>
      </c>
      <c r="U97" s="33">
        <f t="shared" si="11"/>
        <v>0</v>
      </c>
      <c r="V97" s="33">
        <f t="shared" si="11"/>
        <v>0</v>
      </c>
      <c r="W97" s="33">
        <f t="shared" si="11"/>
        <v>0</v>
      </c>
      <c r="X97" s="33">
        <f t="shared" si="11"/>
        <v>0</v>
      </c>
      <c r="Y97" s="33">
        <f t="shared" si="11"/>
        <v>0</v>
      </c>
      <c r="Z97" s="33">
        <f t="shared" si="11"/>
        <v>0</v>
      </c>
      <c r="AA97" s="33">
        <f t="shared" si="11"/>
        <v>0</v>
      </c>
      <c r="AB97" s="33">
        <f t="shared" si="11"/>
        <v>0</v>
      </c>
      <c r="AC97" s="33">
        <f t="shared" si="11"/>
        <v>0</v>
      </c>
      <c r="AD97" s="33">
        <f t="shared" si="11"/>
        <v>0</v>
      </c>
      <c r="AI97" s="21"/>
      <c r="AJ97" s="21"/>
    </row>
    <row r="98" spans="3:36" s="20" customFormat="1" ht="5.0999999999999996" customHeight="1" x14ac:dyDescent="0.2">
      <c r="C98" s="17"/>
      <c r="D98" s="37"/>
      <c r="E98" s="37"/>
      <c r="F98" s="37"/>
      <c r="G98" s="37"/>
      <c r="H98" s="37"/>
      <c r="I98" s="37"/>
      <c r="J98" s="37"/>
      <c r="K98" s="37"/>
      <c r="L98" s="37"/>
      <c r="M98" s="37"/>
      <c r="N98" s="37"/>
      <c r="O98" s="37"/>
      <c r="P98" s="37"/>
      <c r="Q98" s="37"/>
      <c r="R98" s="37"/>
      <c r="AI98" s="21"/>
      <c r="AJ98" s="21"/>
    </row>
    <row r="99" spans="3:36" s="20" customFormat="1" x14ac:dyDescent="0.2">
      <c r="C99" s="17" t="s">
        <v>421</v>
      </c>
      <c r="D99" s="34">
        <v>72.691999999999993</v>
      </c>
      <c r="E99" s="34">
        <v>46.523000000000003</v>
      </c>
      <c r="F99" s="34">
        <v>55.134999999999998</v>
      </c>
      <c r="G99" s="34">
        <v>73.293000000000006</v>
      </c>
      <c r="H99" s="34">
        <v>87.388000000000005</v>
      </c>
      <c r="I99" s="34">
        <v>66.534000000000006</v>
      </c>
      <c r="J99" s="34">
        <v>66.534000000000006</v>
      </c>
      <c r="K99" s="34">
        <v>82.2</v>
      </c>
      <c r="L99" s="34">
        <v>94.36</v>
      </c>
      <c r="M99" s="34">
        <v>67.100999999999999</v>
      </c>
      <c r="N99" s="34">
        <v>51.085999999999999</v>
      </c>
      <c r="O99" s="34">
        <v>51.085999999999999</v>
      </c>
      <c r="P99" s="34">
        <v>53.134999999999998</v>
      </c>
      <c r="Q99" s="34">
        <v>31.065999999999999</v>
      </c>
      <c r="R99" s="34">
        <v>31.184000000000001</v>
      </c>
      <c r="S99" s="40"/>
      <c r="T99" s="40"/>
      <c r="U99" s="40"/>
      <c r="V99" s="40"/>
      <c r="W99" s="40"/>
      <c r="X99" s="40"/>
      <c r="Y99" s="40"/>
      <c r="Z99" s="40"/>
      <c r="AA99" s="40"/>
      <c r="AB99" s="40"/>
      <c r="AC99" s="40"/>
      <c r="AD99" s="40"/>
      <c r="AI99" s="21"/>
      <c r="AJ99" s="21"/>
    </row>
    <row r="100" spans="3:36" s="20" customFormat="1" x14ac:dyDescent="0.2">
      <c r="C100" s="17" t="s">
        <v>425</v>
      </c>
      <c r="D100" s="34">
        <v>37.735999999999997</v>
      </c>
      <c r="E100" s="34">
        <v>43.411000000000001</v>
      </c>
      <c r="F100" s="34">
        <v>32.798999999999999</v>
      </c>
      <c r="G100" s="34">
        <v>36.218000000000004</v>
      </c>
      <c r="H100" s="34">
        <v>36.511000000000003</v>
      </c>
      <c r="I100" s="34">
        <v>36.479999999999997</v>
      </c>
      <c r="J100" s="34">
        <v>36.479999999999997</v>
      </c>
      <c r="K100" s="34">
        <v>33.343000000000004</v>
      </c>
      <c r="L100" s="34">
        <v>74.444999999999993</v>
      </c>
      <c r="M100" s="34">
        <v>35.082999999999998</v>
      </c>
      <c r="N100" s="34">
        <v>71.739999999999995</v>
      </c>
      <c r="O100" s="34">
        <v>71.739999999999995</v>
      </c>
      <c r="P100" s="34">
        <v>110.176</v>
      </c>
      <c r="Q100" s="34">
        <v>64.846999999999994</v>
      </c>
      <c r="R100" s="34">
        <v>21.445</v>
      </c>
      <c r="S100" s="40"/>
      <c r="T100" s="40"/>
      <c r="U100" s="40"/>
      <c r="V100" s="40"/>
      <c r="W100" s="40"/>
      <c r="X100" s="40"/>
      <c r="Y100" s="40"/>
      <c r="Z100" s="40"/>
      <c r="AA100" s="40"/>
      <c r="AB100" s="40"/>
      <c r="AC100" s="40"/>
      <c r="AD100" s="40"/>
      <c r="AI100" s="21"/>
      <c r="AJ100" s="21"/>
    </row>
    <row r="101" spans="3:36" s="20" customFormat="1" x14ac:dyDescent="0.2">
      <c r="C101" s="17" t="s">
        <v>426</v>
      </c>
      <c r="D101" s="34">
        <v>5</v>
      </c>
      <c r="E101" s="34">
        <v>0</v>
      </c>
      <c r="F101" s="34">
        <v>0</v>
      </c>
      <c r="G101" s="34">
        <v>0</v>
      </c>
      <c r="H101" s="34">
        <v>0</v>
      </c>
      <c r="I101" s="34">
        <v>0</v>
      </c>
      <c r="J101" s="34">
        <v>0</v>
      </c>
      <c r="K101" s="34">
        <v>0</v>
      </c>
      <c r="L101" s="34">
        <v>0</v>
      </c>
      <c r="M101" s="34">
        <v>0</v>
      </c>
      <c r="N101" s="34">
        <v>0</v>
      </c>
      <c r="O101" s="34">
        <v>0</v>
      </c>
      <c r="P101" s="34">
        <v>0</v>
      </c>
      <c r="Q101" s="34">
        <v>0</v>
      </c>
      <c r="R101" s="34">
        <v>0</v>
      </c>
      <c r="S101" s="40"/>
      <c r="T101" s="40"/>
      <c r="U101" s="40"/>
      <c r="V101" s="40"/>
      <c r="W101" s="40"/>
      <c r="X101" s="40"/>
      <c r="Y101" s="40"/>
      <c r="Z101" s="40"/>
      <c r="AA101" s="40"/>
      <c r="AB101" s="40"/>
      <c r="AC101" s="40"/>
      <c r="AD101" s="40"/>
      <c r="AI101" s="21"/>
      <c r="AJ101" s="21"/>
    </row>
    <row r="102" spans="3:36" s="20" customFormat="1" x14ac:dyDescent="0.2">
      <c r="C102" s="17" t="s">
        <v>427</v>
      </c>
      <c r="D102" s="34">
        <v>38.222000000000001</v>
      </c>
      <c r="E102" s="34">
        <v>26.367000000000001</v>
      </c>
      <c r="F102" s="34">
        <v>27.061</v>
      </c>
      <c r="G102" s="34">
        <v>24.116</v>
      </c>
      <c r="H102" s="34">
        <v>22.867000000000001</v>
      </c>
      <c r="I102" s="34">
        <v>27.664999999999999</v>
      </c>
      <c r="J102" s="34">
        <v>27.664999999999999</v>
      </c>
      <c r="K102" s="34">
        <v>29.859000000000002</v>
      </c>
      <c r="L102" s="34">
        <v>34.732999999999997</v>
      </c>
      <c r="M102" s="34">
        <v>36.151000000000003</v>
      </c>
      <c r="N102" s="34">
        <v>30.734000000000002</v>
      </c>
      <c r="O102" s="34">
        <v>30.734000000000002</v>
      </c>
      <c r="P102" s="34">
        <v>37.945999999999998</v>
      </c>
      <c r="Q102" s="34">
        <v>30.277999999999999</v>
      </c>
      <c r="R102" s="34">
        <v>34.292000000000002</v>
      </c>
      <c r="S102" s="40"/>
      <c r="T102" s="40"/>
      <c r="U102" s="40"/>
      <c r="V102" s="40"/>
      <c r="W102" s="40"/>
      <c r="X102" s="40"/>
      <c r="Y102" s="40"/>
      <c r="Z102" s="40"/>
      <c r="AA102" s="40"/>
      <c r="AB102" s="40"/>
      <c r="AC102" s="40"/>
      <c r="AD102" s="40"/>
      <c r="AI102" s="21"/>
      <c r="AJ102" s="21"/>
    </row>
    <row r="103" spans="3:36" s="20" customFormat="1" x14ac:dyDescent="0.2">
      <c r="C103" s="17" t="s">
        <v>428</v>
      </c>
      <c r="D103" s="34">
        <v>12.473000000000001</v>
      </c>
      <c r="E103" s="34">
        <v>11.132999999999999</v>
      </c>
      <c r="F103" s="34">
        <v>11.19</v>
      </c>
      <c r="G103" s="34">
        <v>6.5110000000000001</v>
      </c>
      <c r="H103" s="34">
        <v>6.3070000000000004</v>
      </c>
      <c r="I103" s="34">
        <v>4.7649999999999997</v>
      </c>
      <c r="J103" s="34">
        <v>4.7649999999999997</v>
      </c>
      <c r="K103" s="34">
        <v>3.6989999999999998</v>
      </c>
      <c r="L103" s="34">
        <v>4.2309999999999999</v>
      </c>
      <c r="M103" s="34">
        <v>5.9989999999999997</v>
      </c>
      <c r="N103" s="34">
        <v>3.129</v>
      </c>
      <c r="O103" s="34">
        <v>3.129</v>
      </c>
      <c r="P103" s="34">
        <v>3.0510000000000002</v>
      </c>
      <c r="Q103" s="34">
        <v>2.7269999999999999</v>
      </c>
      <c r="R103" s="34">
        <v>2.9529999999999998</v>
      </c>
      <c r="S103" s="40"/>
      <c r="T103" s="40"/>
      <c r="U103" s="40"/>
      <c r="V103" s="40"/>
      <c r="W103" s="40"/>
      <c r="X103" s="40"/>
      <c r="Y103" s="40"/>
      <c r="Z103" s="40"/>
      <c r="AA103" s="40"/>
      <c r="AB103" s="40"/>
      <c r="AC103" s="40"/>
      <c r="AD103" s="40"/>
      <c r="AI103" s="21"/>
      <c r="AJ103" s="21"/>
    </row>
    <row r="104" spans="3:36" s="20" customFormat="1" x14ac:dyDescent="0.2">
      <c r="C104" s="17" t="s">
        <v>429</v>
      </c>
      <c r="D104" s="34">
        <v>0.34200000000000003</v>
      </c>
      <c r="E104" s="34">
        <v>0.04</v>
      </c>
      <c r="F104" s="34">
        <v>4.2000000000000003E-2</v>
      </c>
      <c r="G104" s="34">
        <v>5.8999999999999997E-2</v>
      </c>
      <c r="H104" s="34">
        <v>6.6000000000000003E-2</v>
      </c>
      <c r="I104" s="34">
        <v>4.2999999999999997E-2</v>
      </c>
      <c r="J104" s="34">
        <v>4.2999999999999997E-2</v>
      </c>
      <c r="K104" s="34">
        <v>0.10299999999999999</v>
      </c>
      <c r="L104" s="34">
        <v>6.4000000000000001E-2</v>
      </c>
      <c r="M104" s="34">
        <v>0.10299999999999999</v>
      </c>
      <c r="N104" s="34">
        <v>0.10100000000000001</v>
      </c>
      <c r="O104" s="34">
        <v>0.10100000000000001</v>
      </c>
      <c r="P104" s="34">
        <v>0.372</v>
      </c>
      <c r="Q104" s="34">
        <v>0.61</v>
      </c>
      <c r="R104" s="34">
        <v>0.74199999999999999</v>
      </c>
      <c r="S104" s="40"/>
      <c r="T104" s="40"/>
      <c r="U104" s="40"/>
      <c r="V104" s="40"/>
      <c r="W104" s="40"/>
      <c r="X104" s="40"/>
      <c r="Y104" s="40"/>
      <c r="Z104" s="40"/>
      <c r="AA104" s="40"/>
      <c r="AB104" s="40"/>
      <c r="AC104" s="40"/>
      <c r="AD104" s="40"/>
      <c r="AI104" s="21"/>
      <c r="AJ104" s="21"/>
    </row>
    <row r="105" spans="3:36" s="20" customFormat="1" x14ac:dyDescent="0.2">
      <c r="C105" s="17" t="s">
        <v>430</v>
      </c>
      <c r="D105" s="34">
        <v>22.25</v>
      </c>
      <c r="E105" s="34">
        <v>0</v>
      </c>
      <c r="F105" s="34">
        <v>0</v>
      </c>
      <c r="G105" s="34">
        <v>0</v>
      </c>
      <c r="H105" s="34">
        <v>2.8860000000000001</v>
      </c>
      <c r="I105" s="34">
        <v>2.3359999999999999</v>
      </c>
      <c r="J105" s="34">
        <v>2.3359999999999999</v>
      </c>
      <c r="K105" s="34">
        <v>1.8680000000000001</v>
      </c>
      <c r="L105" s="34">
        <v>0</v>
      </c>
      <c r="M105" s="34">
        <v>0</v>
      </c>
      <c r="N105" s="34">
        <v>0</v>
      </c>
      <c r="O105" s="34">
        <v>0</v>
      </c>
      <c r="P105" s="34">
        <v>0</v>
      </c>
      <c r="Q105" s="34">
        <v>0</v>
      </c>
      <c r="R105" s="34">
        <v>0</v>
      </c>
      <c r="S105" s="40"/>
      <c r="T105" s="40"/>
      <c r="U105" s="40"/>
      <c r="V105" s="40"/>
      <c r="W105" s="40"/>
      <c r="X105" s="40"/>
      <c r="Y105" s="40"/>
      <c r="Z105" s="40"/>
      <c r="AA105" s="40"/>
      <c r="AB105" s="40"/>
      <c r="AC105" s="40"/>
      <c r="AD105" s="40"/>
      <c r="AI105" s="21"/>
      <c r="AJ105" s="21"/>
    </row>
    <row r="106" spans="3:36" s="20" customFormat="1" x14ac:dyDescent="0.2">
      <c r="C106" s="32" t="s">
        <v>163</v>
      </c>
      <c r="D106" s="33">
        <f t="shared" ref="D106:AD106" si="12">SUM(D99:D105)</f>
        <v>188.71500000000003</v>
      </c>
      <c r="E106" s="33">
        <f t="shared" si="12"/>
        <v>127.474</v>
      </c>
      <c r="F106" s="33">
        <f t="shared" si="12"/>
        <v>126.227</v>
      </c>
      <c r="G106" s="33">
        <f t="shared" si="12"/>
        <v>140.197</v>
      </c>
      <c r="H106" s="33">
        <f t="shared" si="12"/>
        <v>156.02499999999998</v>
      </c>
      <c r="I106" s="33">
        <f t="shared" si="12"/>
        <v>137.82300000000001</v>
      </c>
      <c r="J106" s="33">
        <f t="shared" si="12"/>
        <v>137.82300000000001</v>
      </c>
      <c r="K106" s="33">
        <f t="shared" si="12"/>
        <v>151.07200000000003</v>
      </c>
      <c r="L106" s="33">
        <f t="shared" si="12"/>
        <v>207.833</v>
      </c>
      <c r="M106" s="33">
        <f t="shared" si="12"/>
        <v>144.43700000000001</v>
      </c>
      <c r="N106" s="33">
        <f t="shared" si="12"/>
        <v>156.79</v>
      </c>
      <c r="O106" s="33">
        <f t="shared" si="12"/>
        <v>156.79</v>
      </c>
      <c r="P106" s="33">
        <f t="shared" si="12"/>
        <v>204.68</v>
      </c>
      <c r="Q106" s="33">
        <f t="shared" si="12"/>
        <v>129.52800000000002</v>
      </c>
      <c r="R106" s="33">
        <f t="shared" si="12"/>
        <v>90.616000000000014</v>
      </c>
      <c r="S106" s="33">
        <f t="shared" si="12"/>
        <v>0</v>
      </c>
      <c r="T106" s="33">
        <f t="shared" si="12"/>
        <v>0</v>
      </c>
      <c r="U106" s="33">
        <f t="shared" si="12"/>
        <v>0</v>
      </c>
      <c r="V106" s="33">
        <f t="shared" si="12"/>
        <v>0</v>
      </c>
      <c r="W106" s="33">
        <f t="shared" si="12"/>
        <v>0</v>
      </c>
      <c r="X106" s="33">
        <f t="shared" si="12"/>
        <v>0</v>
      </c>
      <c r="Y106" s="33">
        <f t="shared" si="12"/>
        <v>0</v>
      </c>
      <c r="Z106" s="33">
        <f t="shared" si="12"/>
        <v>0</v>
      </c>
      <c r="AA106" s="33">
        <f t="shared" si="12"/>
        <v>0</v>
      </c>
      <c r="AB106" s="33">
        <f t="shared" si="12"/>
        <v>0</v>
      </c>
      <c r="AC106" s="33">
        <f t="shared" si="12"/>
        <v>0</v>
      </c>
      <c r="AD106" s="33">
        <f t="shared" si="12"/>
        <v>0</v>
      </c>
      <c r="AI106" s="21"/>
      <c r="AJ106" s="21"/>
    </row>
    <row r="107" spans="3:36" s="20" customFormat="1" ht="5.0999999999999996" customHeight="1" x14ac:dyDescent="0.2">
      <c r="C107" s="17"/>
      <c r="D107" s="37"/>
      <c r="E107" s="37"/>
      <c r="F107" s="37"/>
      <c r="G107" s="37"/>
      <c r="H107" s="37"/>
      <c r="I107" s="37"/>
      <c r="J107" s="37"/>
      <c r="K107" s="37"/>
      <c r="L107" s="37"/>
      <c r="M107" s="37"/>
      <c r="N107" s="37"/>
      <c r="O107" s="37"/>
      <c r="P107" s="37"/>
      <c r="Q107" s="37"/>
      <c r="R107" s="37"/>
      <c r="AI107" s="21"/>
      <c r="AJ107" s="21"/>
    </row>
    <row r="108" spans="3:36" s="20" customFormat="1" x14ac:dyDescent="0.2">
      <c r="C108" s="32" t="s">
        <v>164</v>
      </c>
      <c r="D108" s="41">
        <v>352.46499999999997</v>
      </c>
      <c r="E108" s="41">
        <v>365.73399999999998</v>
      </c>
      <c r="F108" s="41">
        <v>356.71499999999997</v>
      </c>
      <c r="G108" s="41">
        <v>352.49900000000002</v>
      </c>
      <c r="H108" s="41">
        <v>338.91399999999999</v>
      </c>
      <c r="I108" s="41">
        <v>332.38200000000001</v>
      </c>
      <c r="J108" s="41">
        <v>332.38200000000001</v>
      </c>
      <c r="K108" s="41">
        <v>331.596</v>
      </c>
      <c r="L108" s="41">
        <v>359.44900000000001</v>
      </c>
      <c r="M108" s="41">
        <v>402.459</v>
      </c>
      <c r="N108" s="41">
        <v>478.41399999999999</v>
      </c>
      <c r="O108" s="41">
        <v>478.41399999999999</v>
      </c>
      <c r="P108" s="41">
        <v>531.00800000000004</v>
      </c>
      <c r="Q108" s="41">
        <v>553.87699999999995</v>
      </c>
      <c r="R108" s="41">
        <v>596.10699999999997</v>
      </c>
      <c r="S108" s="33"/>
      <c r="T108" s="33"/>
      <c r="U108" s="33"/>
      <c r="V108" s="33"/>
      <c r="W108" s="33"/>
      <c r="X108" s="33"/>
      <c r="Y108" s="33"/>
      <c r="Z108" s="33"/>
      <c r="AA108" s="33"/>
      <c r="AB108" s="33"/>
      <c r="AC108" s="33"/>
      <c r="AD108" s="33"/>
      <c r="AI108" s="21"/>
      <c r="AJ108" s="21"/>
    </row>
    <row r="109" spans="3:36" s="20" customFormat="1" x14ac:dyDescent="0.2">
      <c r="C109" s="17" t="s">
        <v>165</v>
      </c>
      <c r="D109" s="37">
        <f t="shared" ref="D109:AD109" si="13">ROUNDDOWN(+D83+D91-D97-D106-D108,2)</f>
        <v>0</v>
      </c>
      <c r="E109" s="37">
        <f t="shared" si="13"/>
        <v>0</v>
      </c>
      <c r="F109" s="37">
        <f t="shared" si="13"/>
        <v>0</v>
      </c>
      <c r="G109" s="37">
        <f t="shared" si="13"/>
        <v>0</v>
      </c>
      <c r="H109" s="37">
        <f t="shared" si="13"/>
        <v>0</v>
      </c>
      <c r="I109" s="37">
        <f t="shared" si="13"/>
        <v>0</v>
      </c>
      <c r="J109" s="37">
        <f t="shared" si="13"/>
        <v>0</v>
      </c>
      <c r="K109" s="37">
        <f t="shared" si="13"/>
        <v>0</v>
      </c>
      <c r="L109" s="37">
        <f t="shared" si="13"/>
        <v>0</v>
      </c>
      <c r="M109" s="37">
        <f t="shared" si="13"/>
        <v>0</v>
      </c>
      <c r="N109" s="37">
        <f t="shared" si="13"/>
        <v>0</v>
      </c>
      <c r="O109" s="37">
        <f t="shared" si="13"/>
        <v>0</v>
      </c>
      <c r="P109" s="37">
        <f t="shared" si="13"/>
        <v>0</v>
      </c>
      <c r="Q109" s="37">
        <f t="shared" si="13"/>
        <v>0</v>
      </c>
      <c r="R109" s="37">
        <f t="shared" si="13"/>
        <v>0</v>
      </c>
      <c r="S109" s="37">
        <f t="shared" si="13"/>
        <v>0</v>
      </c>
      <c r="T109" s="37">
        <f t="shared" si="13"/>
        <v>0</v>
      </c>
      <c r="U109" s="37">
        <f t="shared" si="13"/>
        <v>0</v>
      </c>
      <c r="V109" s="37">
        <f t="shared" si="13"/>
        <v>0</v>
      </c>
      <c r="W109" s="37">
        <f t="shared" si="13"/>
        <v>0</v>
      </c>
      <c r="X109" s="37">
        <f t="shared" si="13"/>
        <v>0</v>
      </c>
      <c r="Y109" s="37">
        <f t="shared" si="13"/>
        <v>0</v>
      </c>
      <c r="Z109" s="37">
        <f t="shared" si="13"/>
        <v>0</v>
      </c>
      <c r="AA109" s="37">
        <f t="shared" si="13"/>
        <v>0</v>
      </c>
      <c r="AB109" s="37">
        <f t="shared" si="13"/>
        <v>0</v>
      </c>
      <c r="AC109" s="37">
        <f t="shared" si="13"/>
        <v>0</v>
      </c>
      <c r="AD109" s="37">
        <f t="shared" si="13"/>
        <v>0</v>
      </c>
      <c r="AI109" s="21"/>
      <c r="AJ109" s="21"/>
    </row>
    <row r="110" spans="3:36" s="20" customFormat="1" ht="5.0999999999999996" customHeight="1" x14ac:dyDescent="0.2">
      <c r="C110" s="17"/>
      <c r="D110" s="37"/>
      <c r="E110" s="37"/>
      <c r="F110" s="37"/>
      <c r="G110" s="37"/>
      <c r="H110" s="37"/>
      <c r="I110" s="37"/>
      <c r="J110" s="37"/>
      <c r="K110" s="37"/>
      <c r="L110" s="37"/>
      <c r="M110" s="37"/>
      <c r="N110" s="37"/>
      <c r="O110" s="37"/>
      <c r="P110" s="37"/>
      <c r="Q110" s="37"/>
      <c r="R110" s="37"/>
      <c r="AI110" s="21"/>
      <c r="AJ110" s="21"/>
    </row>
    <row r="111" spans="3:36" s="20" customFormat="1" x14ac:dyDescent="0.2">
      <c r="C111" s="30" t="s">
        <v>166</v>
      </c>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I111" s="21"/>
      <c r="AJ111" s="21"/>
    </row>
    <row r="112" spans="3:36" s="20" customFormat="1" x14ac:dyDescent="0.2">
      <c r="C112" s="17" t="s">
        <v>93</v>
      </c>
      <c r="D112" s="38">
        <f t="shared" ref="D112:R112" si="14">+D26/D114</f>
        <v>-2.590987041629219E-2</v>
      </c>
      <c r="E112" s="38">
        <f t="shared" si="14"/>
        <v>1.3450059507414482E-2</v>
      </c>
      <c r="F112" s="38">
        <f t="shared" si="14"/>
        <v>-7.9859750841894134E-3</v>
      </c>
      <c r="G112" s="38">
        <f t="shared" si="14"/>
        <v>-4.4246580033127708E-3</v>
      </c>
      <c r="H112" s="38">
        <f t="shared" si="14"/>
        <v>-1.1245004469527415E-2</v>
      </c>
      <c r="I112" s="38">
        <f t="shared" si="14"/>
        <v>-6.8124235395202477E-3</v>
      </c>
      <c r="J112" s="38">
        <f t="shared" si="14"/>
        <v>-3.0469056956675525E-2</v>
      </c>
      <c r="K112" s="38">
        <f t="shared" si="14"/>
        <v>-5.3109023491906687E-3</v>
      </c>
      <c r="L112" s="38">
        <f t="shared" si="14"/>
        <v>2.1029432082129148E-2</v>
      </c>
      <c r="M112" s="38">
        <f t="shared" si="14"/>
        <v>3.5618747488700649E-2</v>
      </c>
      <c r="N112" s="38">
        <f t="shared" si="14"/>
        <v>5.8957624199224345E-2</v>
      </c>
      <c r="O112" s="38">
        <f t="shared" si="14"/>
        <v>0.11029580983070746</v>
      </c>
      <c r="P112" s="38">
        <f t="shared" si="14"/>
        <v>4.4258388519752848E-2</v>
      </c>
      <c r="Q112" s="38">
        <f t="shared" si="14"/>
        <v>3.738932566999667E-2</v>
      </c>
      <c r="R112" s="38" t="e">
        <f t="shared" si="14"/>
        <v>#DIV/0!</v>
      </c>
      <c r="AI112" s="21"/>
      <c r="AJ112" s="21"/>
    </row>
    <row r="113" spans="3:36" s="20" customFormat="1" x14ac:dyDescent="0.2">
      <c r="C113" s="17" t="s">
        <v>201</v>
      </c>
      <c r="D113" s="38">
        <f>+D112/'Stocks Valuation'!$D$36</f>
        <v>-2.40306718756188E-2</v>
      </c>
      <c r="E113" s="38">
        <f>+E112/'Stocks Valuation'!$D$36</f>
        <v>1.2474549719360491E-2</v>
      </c>
      <c r="F113" s="38">
        <f>+F112/'Stocks Valuation'!$D$36</f>
        <v>-7.4067659842231622E-3</v>
      </c>
      <c r="G113" s="38">
        <f>+G112/'Stocks Valuation'!$D$36</f>
        <v>-4.1037451338460122E-3</v>
      </c>
      <c r="H113" s="38">
        <f>+H112/'Stocks Valuation'!$D$36</f>
        <v>-1.0429423548068461E-2</v>
      </c>
      <c r="I113" s="38">
        <f>+I112/'Stocks Valuation'!$D$36</f>
        <v>-6.3183301238362525E-3</v>
      </c>
      <c r="J113" s="38">
        <f>+J112/'Stocks Valuation'!$D$36</f>
        <v>-2.8259188422069675E-2</v>
      </c>
      <c r="K113" s="38">
        <f>+K112/'Stocks Valuation'!$D$36</f>
        <v>-4.9257116946676578E-3</v>
      </c>
      <c r="L113" s="38">
        <f>+L112/'Stocks Valuation'!$D$36</f>
        <v>1.9504203377971756E-2</v>
      </c>
      <c r="M113" s="38">
        <f>+M112/'Stocks Valuation'!$D$36</f>
        <v>3.3035380716657993E-2</v>
      </c>
      <c r="N113" s="38">
        <f>+N112/'Stocks Valuation'!$D$36</f>
        <v>5.4681528658156502E-2</v>
      </c>
      <c r="O113" s="38">
        <f>+O112/'Stocks Valuation'!$D$36</f>
        <v>0.10229624358255189</v>
      </c>
      <c r="P113" s="38">
        <f>+P112/'Stocks Valuation'!$D$36</f>
        <v>4.1048403375767803E-2</v>
      </c>
      <c r="Q113" s="38">
        <f>+Q112/'Stocks Valuation'!$D$36</f>
        <v>3.4677541893894145E-2</v>
      </c>
      <c r="R113" s="38" t="e">
        <f>+R112/'Stocks Valuation'!$D$36</f>
        <v>#DIV/0!</v>
      </c>
      <c r="AI113" s="21"/>
      <c r="AJ113" s="21"/>
    </row>
    <row r="114" spans="3:36" s="20" customFormat="1" x14ac:dyDescent="0.2">
      <c r="C114" s="17" t="s">
        <v>95</v>
      </c>
      <c r="D114" s="66">
        <v>1062.41365</v>
      </c>
      <c r="E114" s="66">
        <v>1230.9239219999999</v>
      </c>
      <c r="F114" s="66">
        <v>1223.1443119999999</v>
      </c>
      <c r="G114" s="66">
        <v>1222.9193749999999</v>
      </c>
      <c r="H114" s="66">
        <v>1222.854116</v>
      </c>
      <c r="I114" s="66">
        <v>1222.912808</v>
      </c>
      <c r="J114" s="66">
        <v>1222.912808</v>
      </c>
      <c r="K114" s="66">
        <v>1223.1443119999999</v>
      </c>
      <c r="L114" s="66">
        <v>1222.762455</v>
      </c>
      <c r="M114" s="66">
        <v>1222.8953309999999</v>
      </c>
      <c r="N114" s="66">
        <v>1222.793506</v>
      </c>
      <c r="O114" s="66">
        <v>1222.793506</v>
      </c>
      <c r="P114" s="66">
        <v>1222.728658</v>
      </c>
      <c r="Q114" s="66">
        <v>1222.728658</v>
      </c>
      <c r="R114" s="34"/>
      <c r="AI114" s="21"/>
      <c r="AJ114" s="21"/>
    </row>
    <row r="115" spans="3:36" s="20" customFormat="1" ht="5.0999999999999996" customHeight="1" x14ac:dyDescent="0.2">
      <c r="C115" s="17"/>
      <c r="D115" s="1"/>
      <c r="E115" s="1"/>
      <c r="F115" s="1"/>
      <c r="G115" s="1"/>
      <c r="H115" s="1"/>
      <c r="I115" s="1"/>
      <c r="J115" s="1"/>
      <c r="K115" s="1"/>
      <c r="L115" s="1"/>
      <c r="M115" s="1"/>
      <c r="N115" s="1"/>
      <c r="O115" s="1"/>
      <c r="P115" s="1"/>
      <c r="Q115" s="1"/>
      <c r="R115" s="1"/>
      <c r="AI115" s="21"/>
      <c r="AJ115" s="21"/>
    </row>
    <row r="116" spans="3:36" s="20" customFormat="1" x14ac:dyDescent="0.2">
      <c r="C116" s="42" t="s">
        <v>172</v>
      </c>
      <c r="D116" s="37">
        <f>+D93+D94+D103+D101+D99+D100+D105</f>
        <v>733.73799999999994</v>
      </c>
      <c r="E116" s="37">
        <f t="shared" ref="E116:AD116" si="15">+E93+E94+E103+E101+E99+E100+E105</f>
        <v>634.09699999999998</v>
      </c>
      <c r="F116" s="37">
        <f t="shared" si="15"/>
        <v>628.86400000000003</v>
      </c>
      <c r="G116" s="37">
        <f t="shared" si="15"/>
        <v>605.76400000000001</v>
      </c>
      <c r="H116" s="37">
        <f t="shared" si="15"/>
        <v>591.88799999999992</v>
      </c>
      <c r="I116" s="37">
        <f t="shared" si="15"/>
        <v>574.36400000000003</v>
      </c>
      <c r="J116" s="37">
        <f t="shared" si="15"/>
        <v>574.36400000000003</v>
      </c>
      <c r="K116" s="37">
        <f t="shared" si="15"/>
        <v>556.62700000000007</v>
      </c>
      <c r="L116" s="37">
        <f t="shared" si="15"/>
        <v>538.90100000000007</v>
      </c>
      <c r="M116" s="37">
        <f t="shared" si="15"/>
        <v>554.02800000000002</v>
      </c>
      <c r="N116" s="37">
        <f t="shared" si="15"/>
        <v>542.30400000000009</v>
      </c>
      <c r="O116" s="37">
        <f t="shared" si="15"/>
        <v>542.30400000000009</v>
      </c>
      <c r="P116" s="37">
        <f t="shared" si="15"/>
        <v>484.84099999999995</v>
      </c>
      <c r="Q116" s="37">
        <f t="shared" si="15"/>
        <v>422.02299999999991</v>
      </c>
      <c r="R116" s="37">
        <f t="shared" si="15"/>
        <v>376.72800000000001</v>
      </c>
      <c r="S116" s="37">
        <f t="shared" si="15"/>
        <v>0</v>
      </c>
      <c r="T116" s="37">
        <f t="shared" si="15"/>
        <v>0</v>
      </c>
      <c r="U116" s="37">
        <f t="shared" si="15"/>
        <v>0</v>
      </c>
      <c r="V116" s="37">
        <f t="shared" si="15"/>
        <v>0</v>
      </c>
      <c r="W116" s="37">
        <f t="shared" si="15"/>
        <v>0</v>
      </c>
      <c r="X116" s="37">
        <f t="shared" si="15"/>
        <v>0</v>
      </c>
      <c r="Y116" s="37">
        <f t="shared" si="15"/>
        <v>0</v>
      </c>
      <c r="Z116" s="37">
        <f t="shared" si="15"/>
        <v>0</v>
      </c>
      <c r="AA116" s="37">
        <f t="shared" si="15"/>
        <v>0</v>
      </c>
      <c r="AB116" s="37">
        <f t="shared" si="15"/>
        <v>0</v>
      </c>
      <c r="AC116" s="37">
        <f t="shared" si="15"/>
        <v>0</v>
      </c>
      <c r="AD116" s="37">
        <f t="shared" si="15"/>
        <v>0</v>
      </c>
      <c r="AI116" s="21"/>
      <c r="AJ116" s="21"/>
    </row>
    <row r="117" spans="3:36" s="20" customFormat="1" x14ac:dyDescent="0.2">
      <c r="C117" s="17" t="s">
        <v>173</v>
      </c>
      <c r="D117" s="37">
        <f>+D82+D88+D90+D87</f>
        <v>58.210999999999999</v>
      </c>
      <c r="E117" s="37">
        <f t="shared" ref="E117:AD117" si="16">+E82+E88+E90+E87</f>
        <v>66.795999999999992</v>
      </c>
      <c r="F117" s="37">
        <f t="shared" si="16"/>
        <v>71.539000000000001</v>
      </c>
      <c r="G117" s="37">
        <f t="shared" si="16"/>
        <v>63.589000000000006</v>
      </c>
      <c r="H117" s="37">
        <f t="shared" si="16"/>
        <v>55.652000000000008</v>
      </c>
      <c r="I117" s="37">
        <f t="shared" si="16"/>
        <v>55.937999999999995</v>
      </c>
      <c r="J117" s="37">
        <f t="shared" si="16"/>
        <v>55.937999999999995</v>
      </c>
      <c r="K117" s="37">
        <f t="shared" si="16"/>
        <v>61.637</v>
      </c>
      <c r="L117" s="37">
        <f t="shared" si="16"/>
        <v>64.592999999999989</v>
      </c>
      <c r="M117" s="37">
        <f t="shared" si="16"/>
        <v>103.91200000000001</v>
      </c>
      <c r="N117" s="37">
        <f t="shared" si="16"/>
        <v>135.786</v>
      </c>
      <c r="O117" s="37">
        <f t="shared" si="16"/>
        <v>135.786</v>
      </c>
      <c r="P117" s="37">
        <f t="shared" si="16"/>
        <v>168.709</v>
      </c>
      <c r="Q117" s="37">
        <f t="shared" si="16"/>
        <v>124.465</v>
      </c>
      <c r="R117" s="37">
        <f t="shared" si="16"/>
        <v>114.88200000000001</v>
      </c>
      <c r="S117" s="37">
        <f t="shared" si="16"/>
        <v>0</v>
      </c>
      <c r="T117" s="37">
        <f t="shared" si="16"/>
        <v>0</v>
      </c>
      <c r="U117" s="37">
        <f t="shared" si="16"/>
        <v>0</v>
      </c>
      <c r="V117" s="37">
        <f t="shared" si="16"/>
        <v>0</v>
      </c>
      <c r="W117" s="37">
        <f t="shared" si="16"/>
        <v>0</v>
      </c>
      <c r="X117" s="37">
        <f t="shared" si="16"/>
        <v>0</v>
      </c>
      <c r="Y117" s="37">
        <f t="shared" si="16"/>
        <v>0</v>
      </c>
      <c r="Z117" s="37">
        <f t="shared" si="16"/>
        <v>0</v>
      </c>
      <c r="AA117" s="37">
        <f t="shared" si="16"/>
        <v>0</v>
      </c>
      <c r="AB117" s="37">
        <f t="shared" si="16"/>
        <v>0</v>
      </c>
      <c r="AC117" s="37">
        <f t="shared" si="16"/>
        <v>0</v>
      </c>
      <c r="AD117" s="37">
        <f t="shared" si="16"/>
        <v>0</v>
      </c>
      <c r="AI117" s="21"/>
      <c r="AJ117" s="21"/>
    </row>
    <row r="118" spans="3:36" s="20" customFormat="1" x14ac:dyDescent="0.2">
      <c r="C118" s="17" t="s">
        <v>174</v>
      </c>
      <c r="D118" s="37">
        <f>+D116-D117</f>
        <v>675.52699999999993</v>
      </c>
      <c r="E118" s="37">
        <f t="shared" ref="E118:AD118" si="17">+E116-E117</f>
        <v>567.30099999999993</v>
      </c>
      <c r="F118" s="37">
        <f t="shared" si="17"/>
        <v>557.32500000000005</v>
      </c>
      <c r="G118" s="37">
        <f t="shared" si="17"/>
        <v>542.17499999999995</v>
      </c>
      <c r="H118" s="37">
        <f t="shared" si="17"/>
        <v>536.23599999999988</v>
      </c>
      <c r="I118" s="37">
        <f t="shared" si="17"/>
        <v>518.42600000000004</v>
      </c>
      <c r="J118" s="37">
        <f t="shared" si="17"/>
        <v>518.42600000000004</v>
      </c>
      <c r="K118" s="37">
        <f t="shared" si="17"/>
        <v>494.99000000000007</v>
      </c>
      <c r="L118" s="37">
        <f t="shared" si="17"/>
        <v>474.30800000000011</v>
      </c>
      <c r="M118" s="37">
        <f t="shared" si="17"/>
        <v>450.11599999999999</v>
      </c>
      <c r="N118" s="37">
        <f t="shared" si="17"/>
        <v>406.51800000000009</v>
      </c>
      <c r="O118" s="37">
        <f t="shared" si="17"/>
        <v>406.51800000000009</v>
      </c>
      <c r="P118" s="37">
        <f t="shared" si="17"/>
        <v>316.13199999999995</v>
      </c>
      <c r="Q118" s="37">
        <f t="shared" si="17"/>
        <v>297.55799999999988</v>
      </c>
      <c r="R118" s="37">
        <f t="shared" si="17"/>
        <v>261.846</v>
      </c>
      <c r="S118" s="37">
        <f t="shared" si="17"/>
        <v>0</v>
      </c>
      <c r="T118" s="37">
        <f t="shared" si="17"/>
        <v>0</v>
      </c>
      <c r="U118" s="37">
        <f t="shared" si="17"/>
        <v>0</v>
      </c>
      <c r="V118" s="37">
        <f t="shared" si="17"/>
        <v>0</v>
      </c>
      <c r="W118" s="37">
        <f t="shared" si="17"/>
        <v>0</v>
      </c>
      <c r="X118" s="37">
        <f t="shared" si="17"/>
        <v>0</v>
      </c>
      <c r="Y118" s="37">
        <f t="shared" si="17"/>
        <v>0</v>
      </c>
      <c r="Z118" s="37">
        <f t="shared" si="17"/>
        <v>0</v>
      </c>
      <c r="AA118" s="37">
        <f t="shared" si="17"/>
        <v>0</v>
      </c>
      <c r="AB118" s="37">
        <f t="shared" si="17"/>
        <v>0</v>
      </c>
      <c r="AC118" s="37">
        <f t="shared" si="17"/>
        <v>0</v>
      </c>
      <c r="AD118" s="37">
        <f t="shared" si="17"/>
        <v>0</v>
      </c>
      <c r="AI118" s="21"/>
      <c r="AJ118" s="21"/>
    </row>
    <row r="119" spans="3:36" s="20" customFormat="1" x14ac:dyDescent="0.2">
      <c r="C119" s="17" t="s">
        <v>281</v>
      </c>
      <c r="D119" s="37">
        <f>+D85+D86-D102-D104</f>
        <v>12.948999999999996</v>
      </c>
      <c r="E119" s="37">
        <f t="shared" ref="E119:AD119" si="18">+E85+E86-E102-E104</f>
        <v>21.2</v>
      </c>
      <c r="F119" s="37">
        <f t="shared" si="18"/>
        <v>18.78</v>
      </c>
      <c r="G119" s="37">
        <f t="shared" si="18"/>
        <v>17.803000000000001</v>
      </c>
      <c r="H119" s="37">
        <f t="shared" si="18"/>
        <v>20.592000000000006</v>
      </c>
      <c r="I119" s="37">
        <f t="shared" si="18"/>
        <v>21.039000000000001</v>
      </c>
      <c r="J119" s="37">
        <f t="shared" si="18"/>
        <v>21.039000000000001</v>
      </c>
      <c r="K119" s="37">
        <f t="shared" si="18"/>
        <v>21.840999999999994</v>
      </c>
      <c r="L119" s="37">
        <f t="shared" si="18"/>
        <v>54.188999999999993</v>
      </c>
      <c r="M119" s="37">
        <f t="shared" si="18"/>
        <v>58.769000000000005</v>
      </c>
      <c r="N119" s="37">
        <f t="shared" si="18"/>
        <v>78.966000000000008</v>
      </c>
      <c r="O119" s="37">
        <f t="shared" si="18"/>
        <v>78.966000000000008</v>
      </c>
      <c r="P119" s="37">
        <f t="shared" si="18"/>
        <v>52.878</v>
      </c>
      <c r="Q119" s="37">
        <f t="shared" si="18"/>
        <v>40.890000000000008</v>
      </c>
      <c r="R119" s="37">
        <f t="shared" si="18"/>
        <v>55.413000000000004</v>
      </c>
      <c r="S119" s="37">
        <f t="shared" si="18"/>
        <v>0</v>
      </c>
      <c r="T119" s="37">
        <f t="shared" si="18"/>
        <v>0</v>
      </c>
      <c r="U119" s="37">
        <f t="shared" si="18"/>
        <v>0</v>
      </c>
      <c r="V119" s="37">
        <f t="shared" si="18"/>
        <v>0</v>
      </c>
      <c r="W119" s="37">
        <f t="shared" si="18"/>
        <v>0</v>
      </c>
      <c r="X119" s="37">
        <f t="shared" si="18"/>
        <v>0</v>
      </c>
      <c r="Y119" s="37">
        <f t="shared" si="18"/>
        <v>0</v>
      </c>
      <c r="Z119" s="37">
        <f t="shared" si="18"/>
        <v>0</v>
      </c>
      <c r="AA119" s="37">
        <f t="shared" si="18"/>
        <v>0</v>
      </c>
      <c r="AB119" s="37">
        <f t="shared" si="18"/>
        <v>0</v>
      </c>
      <c r="AC119" s="37">
        <f t="shared" si="18"/>
        <v>0</v>
      </c>
      <c r="AD119" s="37">
        <f t="shared" si="18"/>
        <v>0</v>
      </c>
      <c r="AI119" s="21"/>
      <c r="AJ119" s="21"/>
    </row>
    <row r="120" spans="3:36" s="20" customFormat="1" ht="5.0999999999999996" customHeight="1" x14ac:dyDescent="0.2">
      <c r="C120" s="17"/>
      <c r="D120" s="17"/>
      <c r="E120" s="17"/>
      <c r="F120" s="17"/>
      <c r="G120" s="17"/>
      <c r="H120" s="17"/>
      <c r="I120" s="17"/>
      <c r="J120" s="17"/>
      <c r="K120" s="17"/>
      <c r="L120" s="17"/>
      <c r="M120" s="17"/>
      <c r="N120" s="17"/>
      <c r="O120" s="17"/>
      <c r="P120" s="17"/>
      <c r="Q120" s="17"/>
      <c r="R120" s="17"/>
      <c r="AI120" s="21"/>
      <c r="AJ120" s="21"/>
    </row>
    <row r="121" spans="3:36" s="20" customFormat="1" x14ac:dyDescent="0.2">
      <c r="C121" s="17" t="s">
        <v>175</v>
      </c>
      <c r="D121" s="48">
        <f>-(D20+D21)/D118</f>
        <v>6.5348979389424855E-2</v>
      </c>
      <c r="E121" s="48">
        <f>-(E20+E21)/E118</f>
        <v>6.8094362604684294E-2</v>
      </c>
      <c r="F121" s="48">
        <f>-(F20+F21)/F118</f>
        <v>1.3315390481317007E-2</v>
      </c>
      <c r="G121" s="48">
        <f>-(G20+G21)/AVERAGE(F118:G118)</f>
        <v>1.4521145975443385E-2</v>
      </c>
      <c r="H121" s="48">
        <f>-(H20+H21)/AVERAGE(G118:H118)</f>
        <v>1.1934225448368016E-2</v>
      </c>
      <c r="I121" s="48">
        <f>-(I20+I21)/AVERAGE(H118:I118)</f>
        <v>1.5312962826004924E-2</v>
      </c>
      <c r="J121" s="48">
        <f>-(J20+J21)/AVERAGE(F118:I118)</f>
        <v>5.554642594196723E-2</v>
      </c>
      <c r="K121" s="48">
        <f>-(K20+K21)/AVERAGE(K118,I118)</f>
        <v>1.3114061747594273E-2</v>
      </c>
      <c r="L121" s="48">
        <f>-(L20+L21)/AVERAGE(K118:L118)</f>
        <v>1.5978574184616078E-2</v>
      </c>
      <c r="M121" s="48">
        <f>-(M20+M21)/AVERAGE(L118:M118)</f>
        <v>2.2755791714624454E-2</v>
      </c>
      <c r="N121" s="48">
        <f>-(N20+N21)/AVERAGE(M118:N118)</f>
        <v>1.2838621861845317E-2</v>
      </c>
      <c r="O121" s="48">
        <f>-(O20+O21)/AVERAGE(K118:N118)</f>
        <v>6.6609271320071051E-2</v>
      </c>
      <c r="P121" s="48">
        <f>-(P20+P21)/AVERAGE(P118,N118)</f>
        <v>1.7186743236698263E-2</v>
      </c>
      <c r="Q121" s="48">
        <f>-(Q20+Q21)/AVERAGE(P118:Q118)</f>
        <v>1.8315436132249188E-2</v>
      </c>
      <c r="R121" s="48">
        <f>-(R20+R21)/AVERAGE(Q118:R118)</f>
        <v>1.9535076617256938E-2</v>
      </c>
      <c r="AI121" s="21"/>
      <c r="AJ121" s="21"/>
    </row>
    <row r="122" spans="3:36" s="20" customFormat="1" x14ac:dyDescent="0.2">
      <c r="C122" s="17" t="s">
        <v>176</v>
      </c>
      <c r="D122" s="37">
        <f>+D79/-D18</f>
        <v>14.315801150229534</v>
      </c>
      <c r="E122" s="37">
        <f>+D79/-E18</f>
        <v>11.692285176667363</v>
      </c>
      <c r="F122" s="37">
        <f>+(E79/(-F18*4))</f>
        <v>13.722988190893595</v>
      </c>
      <c r="G122" s="37">
        <f>+(F79/(-G18*4))</f>
        <v>13.81858297846078</v>
      </c>
      <c r="H122" s="37">
        <f>+(G79/(-H18*4))</f>
        <v>9.9203618584110682</v>
      </c>
      <c r="I122" s="37">
        <f>+(H79/(-I18*4))</f>
        <v>12.910346299231801</v>
      </c>
      <c r="J122" s="37">
        <f>AVERAGE(F122:I122)</f>
        <v>12.593069831749311</v>
      </c>
      <c r="K122" s="37">
        <f>+(J79/(-K18*4))</f>
        <v>11.746182005376651</v>
      </c>
      <c r="L122" s="37">
        <f>+(K79/(-L18*4))</f>
        <v>13.232685277500829</v>
      </c>
      <c r="M122" s="37">
        <f>+(L79/(-M18*4))</f>
        <v>13.144537305385185</v>
      </c>
      <c r="N122" s="37">
        <f>+(M79/(-N18*4))</f>
        <v>14.694948043334078</v>
      </c>
      <c r="O122" s="37">
        <f>AVERAGE(K122:N122)</f>
        <v>13.204588157899186</v>
      </c>
      <c r="P122" s="37">
        <f>+(O79/(-P18*4))</f>
        <v>12.799677358132472</v>
      </c>
      <c r="Q122" s="37">
        <f>+(P79/(-Q18*4))</f>
        <v>13.578105843890476</v>
      </c>
      <c r="R122" s="37">
        <f>+(Q79/(-R18*4))</f>
        <v>12.814512571680636</v>
      </c>
      <c r="S122" s="37"/>
      <c r="T122" s="37"/>
      <c r="AI122" s="21"/>
      <c r="AJ122" s="21"/>
    </row>
    <row r="123" spans="3:36" s="20" customFormat="1" x14ac:dyDescent="0.2">
      <c r="C123" s="17"/>
      <c r="D123" s="17"/>
      <c r="E123" s="17"/>
      <c r="F123" s="17"/>
      <c r="G123" s="17"/>
      <c r="H123" s="17"/>
      <c r="I123" s="17"/>
      <c r="J123" s="17"/>
      <c r="K123" s="17"/>
      <c r="L123" s="17"/>
      <c r="M123" s="17"/>
      <c r="N123" s="17"/>
      <c r="O123" s="17"/>
      <c r="P123" s="17"/>
      <c r="Q123" s="17"/>
      <c r="R123" s="17"/>
      <c r="AI123" s="21"/>
      <c r="AJ123" s="21"/>
    </row>
    <row r="124" spans="3:36" s="20" customFormat="1" x14ac:dyDescent="0.2">
      <c r="C124" s="30" t="s">
        <v>177</v>
      </c>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I124" s="21"/>
      <c r="AJ124" s="21"/>
    </row>
    <row r="125" spans="3:36" s="20" customFormat="1" x14ac:dyDescent="0.2">
      <c r="C125" s="49" t="s">
        <v>192</v>
      </c>
      <c r="D125" s="50" t="s">
        <v>193</v>
      </c>
      <c r="E125" s="60" t="s">
        <v>320</v>
      </c>
      <c r="F125" s="51" t="s">
        <v>198</v>
      </c>
      <c r="G125" s="51" t="s">
        <v>197</v>
      </c>
      <c r="H125" s="52" t="s">
        <v>200</v>
      </c>
      <c r="I125" s="53" t="s">
        <v>194</v>
      </c>
      <c r="J125" s="53" t="s">
        <v>195</v>
      </c>
      <c r="K125" s="52" t="s">
        <v>196</v>
      </c>
      <c r="L125" s="52" t="s">
        <v>199</v>
      </c>
      <c r="M125" s="1"/>
      <c r="N125" s="1"/>
      <c r="O125" s="1"/>
      <c r="P125" s="1"/>
      <c r="Q125" s="1"/>
      <c r="R125" s="1"/>
      <c r="AI125" s="21"/>
      <c r="AJ125" s="21"/>
    </row>
    <row r="126" spans="3:36" s="20" customFormat="1" x14ac:dyDescent="0.2">
      <c r="C126" s="17" t="s">
        <v>431</v>
      </c>
      <c r="D126" s="2" t="s">
        <v>14</v>
      </c>
      <c r="E126" s="58" t="s">
        <v>466</v>
      </c>
      <c r="F126" s="34">
        <v>1</v>
      </c>
      <c r="G126" s="66"/>
      <c r="H126" s="1"/>
      <c r="I126" s="54">
        <v>43466</v>
      </c>
      <c r="J126" s="54">
        <f ca="1">TODAY()</f>
        <v>45460</v>
      </c>
      <c r="K126" s="56">
        <f ca="1">+(J126-I126)/365</f>
        <v>5.463013698630137</v>
      </c>
      <c r="L126" s="1">
        <f ca="1">+K126*'Vessel Valuations'!$F$47^3+K126*'Vessel Valuations'!$G$47^2+K126*'Vessel Valuations'!$H$47+'Vessel Valuations'!$I$47</f>
        <v>48.648694094960156</v>
      </c>
      <c r="M126" s="1"/>
      <c r="N126" s="1"/>
      <c r="O126" s="1"/>
      <c r="P126" s="1"/>
      <c r="Q126" s="1"/>
      <c r="R126" s="1"/>
      <c r="AI126" s="21"/>
      <c r="AJ126" s="21"/>
    </row>
    <row r="127" spans="3:36" s="20" customFormat="1" x14ac:dyDescent="0.2">
      <c r="C127" s="17" t="s">
        <v>432</v>
      </c>
      <c r="D127" s="2" t="s">
        <v>14</v>
      </c>
      <c r="E127" s="58" t="s">
        <v>466</v>
      </c>
      <c r="F127" s="34">
        <v>1</v>
      </c>
      <c r="G127" s="66"/>
      <c r="H127" s="1"/>
      <c r="I127" s="55">
        <v>43101</v>
      </c>
      <c r="J127" s="55">
        <f t="shared" ref="J127:J161" ca="1" si="19">TODAY()</f>
        <v>45460</v>
      </c>
      <c r="K127" s="56">
        <f t="shared" ref="K127:K161" ca="1" si="20">+(J127-I127)/365</f>
        <v>6.463013698630137</v>
      </c>
      <c r="L127" s="1">
        <f ca="1">+K127*'Vessel Valuations'!$F$47^3+K127*'Vessel Valuations'!$G$47^2+K127*'Vessel Valuations'!$H$47+'Vessel Valuations'!$I$47</f>
        <v>45.809977204030176</v>
      </c>
      <c r="M127" s="1"/>
      <c r="N127" s="1"/>
      <c r="O127" s="1"/>
      <c r="P127" s="1"/>
      <c r="Q127" s="1"/>
      <c r="R127" s="1"/>
      <c r="AI127" s="21"/>
      <c r="AJ127" s="21"/>
    </row>
    <row r="128" spans="3:36" s="20" customFormat="1" x14ac:dyDescent="0.2">
      <c r="C128" s="17" t="s">
        <v>433</v>
      </c>
      <c r="D128" s="2" t="s">
        <v>14</v>
      </c>
      <c r="E128" s="58" t="s">
        <v>466</v>
      </c>
      <c r="F128" s="34">
        <v>1</v>
      </c>
      <c r="G128" s="66"/>
      <c r="H128" s="1"/>
      <c r="I128" s="55">
        <v>43101</v>
      </c>
      <c r="J128" s="55">
        <f t="shared" ca="1" si="19"/>
        <v>45460</v>
      </c>
      <c r="K128" s="56">
        <f t="shared" ca="1" si="20"/>
        <v>6.463013698630137</v>
      </c>
      <c r="L128" s="1">
        <f ca="1">+K128*'Vessel Valuations'!$F$47^3+K128*'Vessel Valuations'!$G$47^2+K128*'Vessel Valuations'!$H$47+'Vessel Valuations'!$I$47</f>
        <v>45.809977204030176</v>
      </c>
      <c r="M128" s="1"/>
      <c r="N128" s="1"/>
      <c r="O128" s="1"/>
      <c r="P128" s="1"/>
      <c r="Q128" s="1"/>
      <c r="R128" s="1"/>
      <c r="AI128" s="21"/>
      <c r="AJ128" s="21"/>
    </row>
    <row r="129" spans="3:36" s="20" customFormat="1" x14ac:dyDescent="0.2">
      <c r="C129" s="17" t="s">
        <v>434</v>
      </c>
      <c r="D129" s="2" t="s">
        <v>14</v>
      </c>
      <c r="E129" s="58" t="s">
        <v>466</v>
      </c>
      <c r="F129" s="34">
        <v>1</v>
      </c>
      <c r="G129" s="66"/>
      <c r="H129" s="1"/>
      <c r="I129" s="55">
        <v>43101</v>
      </c>
      <c r="J129" s="55">
        <f t="shared" ca="1" si="19"/>
        <v>45460</v>
      </c>
      <c r="K129" s="56">
        <f t="shared" ca="1" si="20"/>
        <v>6.463013698630137</v>
      </c>
      <c r="L129" s="1">
        <f ca="1">+K129*'Vessel Valuations'!$F$47^3+K129*'Vessel Valuations'!$G$47^2+K129*'Vessel Valuations'!$H$47+'Vessel Valuations'!$I$47</f>
        <v>45.809977204030176</v>
      </c>
      <c r="M129" s="1"/>
      <c r="N129" s="1"/>
      <c r="O129" s="1"/>
      <c r="P129" s="1"/>
      <c r="Q129" s="1"/>
      <c r="R129" s="1"/>
      <c r="AI129" s="21"/>
      <c r="AJ129" s="21"/>
    </row>
    <row r="130" spans="3:36" s="20" customFormat="1" x14ac:dyDescent="0.2">
      <c r="C130" s="17" t="s">
        <v>435</v>
      </c>
      <c r="D130" s="2" t="s">
        <v>14</v>
      </c>
      <c r="E130" s="58" t="s">
        <v>466</v>
      </c>
      <c r="F130" s="34">
        <v>1</v>
      </c>
      <c r="G130" s="66"/>
      <c r="H130" s="1"/>
      <c r="I130" s="55">
        <v>42736</v>
      </c>
      <c r="J130" s="55">
        <f t="shared" ca="1" si="19"/>
        <v>45460</v>
      </c>
      <c r="K130" s="56">
        <f t="shared" ca="1" si="20"/>
        <v>7.463013698630137</v>
      </c>
      <c r="L130" s="1">
        <f ca="1">+K130*'Vessel Valuations'!$F$47^3+K130*'Vessel Valuations'!$G$47^2+K130*'Vessel Valuations'!$H$47+'Vessel Valuations'!$I$47</f>
        <v>42.971260313100203</v>
      </c>
      <c r="M130" s="1"/>
      <c r="N130" s="1"/>
      <c r="O130" s="1"/>
      <c r="P130" s="1"/>
      <c r="Q130" s="1"/>
      <c r="R130" s="1"/>
      <c r="AI130" s="21"/>
      <c r="AJ130" s="21"/>
    </row>
    <row r="131" spans="3:36" s="20" customFormat="1" x14ac:dyDescent="0.2">
      <c r="C131" s="17" t="s">
        <v>436</v>
      </c>
      <c r="D131" s="2" t="s">
        <v>14</v>
      </c>
      <c r="E131" s="58" t="s">
        <v>467</v>
      </c>
      <c r="F131" s="34">
        <v>1</v>
      </c>
      <c r="G131" s="66"/>
      <c r="H131" s="1"/>
      <c r="I131" s="55">
        <v>43466</v>
      </c>
      <c r="J131" s="55">
        <f t="shared" ca="1" si="19"/>
        <v>45460</v>
      </c>
      <c r="K131" s="56">
        <f t="shared" ca="1" si="20"/>
        <v>5.463013698630137</v>
      </c>
      <c r="L131" s="1">
        <f ca="1">+K131*'Vessel Valuations'!$F$47^3+K131*'Vessel Valuations'!$G$47^2+K131*'Vessel Valuations'!$H$47+'Vessel Valuations'!$I$47</f>
        <v>48.648694094960156</v>
      </c>
      <c r="M131" s="1"/>
      <c r="N131" s="1"/>
      <c r="O131" s="1"/>
      <c r="P131" s="1"/>
      <c r="Q131" s="1"/>
      <c r="R131" s="1"/>
      <c r="AI131" s="21"/>
      <c r="AJ131" s="21"/>
    </row>
    <row r="132" spans="3:36" s="20" customFormat="1" x14ac:dyDescent="0.2">
      <c r="C132" s="17" t="s">
        <v>469</v>
      </c>
      <c r="D132" s="2" t="s">
        <v>15</v>
      </c>
      <c r="E132" s="58" t="s">
        <v>466</v>
      </c>
      <c r="F132" s="34">
        <v>1</v>
      </c>
      <c r="G132" s="66"/>
      <c r="H132" s="1"/>
      <c r="I132" s="55">
        <v>43101</v>
      </c>
      <c r="J132" s="55">
        <f t="shared" ca="1" si="19"/>
        <v>45460</v>
      </c>
      <c r="K132" s="56">
        <f t="shared" ca="1" si="20"/>
        <v>6.463013698630137</v>
      </c>
      <c r="L132" s="1">
        <f ca="1">+K132*'Vessel Valuations'!$F$48^3+K132*'Vessel Valuations'!$G$48^2+K132*'Vessel Valuations'!$H$48+'Vessel Valuations'!$I$48</f>
        <v>39.485277769025771</v>
      </c>
      <c r="M132" s="1"/>
      <c r="N132" s="1"/>
      <c r="O132" s="1"/>
      <c r="P132" s="1"/>
      <c r="Q132" s="1"/>
      <c r="R132" s="1"/>
      <c r="AI132" s="21"/>
      <c r="AJ132" s="21"/>
    </row>
    <row r="133" spans="3:36" s="20" customFormat="1" x14ac:dyDescent="0.2">
      <c r="C133" s="17" t="s">
        <v>454</v>
      </c>
      <c r="D133" s="2" t="s">
        <v>15</v>
      </c>
      <c r="E133" s="58" t="s">
        <v>466</v>
      </c>
      <c r="F133" s="34">
        <v>1</v>
      </c>
      <c r="G133" s="66"/>
      <c r="H133" s="1"/>
      <c r="I133" s="55">
        <v>42736</v>
      </c>
      <c r="J133" s="55">
        <f t="shared" ca="1" si="19"/>
        <v>45460</v>
      </c>
      <c r="K133" s="56">
        <f t="shared" ca="1" si="20"/>
        <v>7.463013698630137</v>
      </c>
      <c r="L133" s="1">
        <f ca="1">+K133*'Vessel Valuations'!$F$48^3+K133*'Vessel Valuations'!$G$48^2+K133*'Vessel Valuations'!$H$48+'Vessel Valuations'!$I$48</f>
        <v>36.979783480389486</v>
      </c>
      <c r="M133" s="1"/>
      <c r="N133" s="1"/>
      <c r="O133" s="1"/>
      <c r="P133" s="1"/>
      <c r="Q133" s="1"/>
      <c r="R133" s="1"/>
      <c r="AI133" s="21"/>
      <c r="AJ133" s="21"/>
    </row>
    <row r="134" spans="3:36" s="20" customFormat="1" x14ac:dyDescent="0.2">
      <c r="C134" s="17" t="s">
        <v>437</v>
      </c>
      <c r="D134" s="2" t="s">
        <v>15</v>
      </c>
      <c r="E134" s="58" t="s">
        <v>466</v>
      </c>
      <c r="F134" s="34">
        <v>1</v>
      </c>
      <c r="G134" s="66"/>
      <c r="H134" s="1"/>
      <c r="I134" s="55">
        <v>42736</v>
      </c>
      <c r="J134" s="55">
        <f t="shared" ca="1" si="19"/>
        <v>45460</v>
      </c>
      <c r="K134" s="56">
        <f t="shared" ca="1" si="20"/>
        <v>7.463013698630137</v>
      </c>
      <c r="L134" s="1">
        <f ca="1">+K134*'Vessel Valuations'!$F$48^3+K134*'Vessel Valuations'!$G$48^2+K134*'Vessel Valuations'!$H$48+'Vessel Valuations'!$I$48</f>
        <v>36.979783480389486</v>
      </c>
      <c r="M134" s="1"/>
      <c r="N134" s="1"/>
      <c r="O134" s="1"/>
      <c r="P134" s="1"/>
      <c r="Q134" s="1"/>
      <c r="R134" s="1"/>
      <c r="AI134" s="21"/>
      <c r="AJ134" s="21"/>
    </row>
    <row r="135" spans="3:36" s="20" customFormat="1" x14ac:dyDescent="0.2">
      <c r="C135" s="17" t="s">
        <v>438</v>
      </c>
      <c r="D135" s="2" t="s">
        <v>15</v>
      </c>
      <c r="E135" s="58" t="s">
        <v>466</v>
      </c>
      <c r="F135" s="34">
        <v>1</v>
      </c>
      <c r="G135" s="66"/>
      <c r="H135" s="1"/>
      <c r="I135" s="55">
        <v>42370</v>
      </c>
      <c r="J135" s="55">
        <f t="shared" ca="1" si="19"/>
        <v>45460</v>
      </c>
      <c r="K135" s="56">
        <f t="shared" ca="1" si="20"/>
        <v>8.4657534246575334</v>
      </c>
      <c r="L135" s="1">
        <f ca="1">+K135*'Vessel Valuations'!$F$48^3+K135*'Vessel Valuations'!$G$48^2+K135*'Vessel Valuations'!$H$48+'Vessel Valuations'!$I$48</f>
        <v>34.467424823839124</v>
      </c>
      <c r="M135" s="1"/>
      <c r="N135" s="1"/>
      <c r="O135" s="1"/>
      <c r="P135" s="1"/>
      <c r="Q135" s="1"/>
      <c r="R135" s="1"/>
      <c r="AI135" s="21"/>
      <c r="AJ135" s="21"/>
    </row>
    <row r="136" spans="3:36" s="20" customFormat="1" x14ac:dyDescent="0.2">
      <c r="C136" s="17" t="s">
        <v>445</v>
      </c>
      <c r="D136" s="67" t="s">
        <v>15</v>
      </c>
      <c r="E136" s="58" t="s">
        <v>466</v>
      </c>
      <c r="F136" s="34">
        <v>1</v>
      </c>
      <c r="G136" s="69"/>
      <c r="H136" s="1"/>
      <c r="I136" s="55">
        <v>42370</v>
      </c>
      <c r="J136" s="55">
        <f ca="1">TODAY()</f>
        <v>45460</v>
      </c>
      <c r="K136" s="56">
        <f ca="1">+(J136-I136)/365</f>
        <v>8.4657534246575334</v>
      </c>
      <c r="L136" s="1">
        <f ca="1">+K136*'Vessel Valuations'!$F$48^3+K136*'Vessel Valuations'!$G$48^2+K136*'Vessel Valuations'!$H$48+'Vessel Valuations'!$I$48</f>
        <v>34.467424823839124</v>
      </c>
      <c r="M136" s="1"/>
      <c r="N136" s="1"/>
      <c r="O136" s="1"/>
      <c r="P136" s="1"/>
      <c r="Q136" s="1"/>
      <c r="R136" s="1"/>
      <c r="AI136" s="21"/>
      <c r="AJ136" s="21"/>
    </row>
    <row r="137" spans="3:36" s="20" customFormat="1" x14ac:dyDescent="0.2">
      <c r="C137" s="17" t="s">
        <v>446</v>
      </c>
      <c r="D137" s="67" t="s">
        <v>15</v>
      </c>
      <c r="E137" s="58" t="s">
        <v>466</v>
      </c>
      <c r="F137" s="34">
        <v>1</v>
      </c>
      <c r="G137" s="69"/>
      <c r="H137" s="1"/>
      <c r="I137" s="55">
        <v>42005</v>
      </c>
      <c r="J137" s="55">
        <f ca="1">TODAY()</f>
        <v>45460</v>
      </c>
      <c r="K137" s="56">
        <f ca="1">+(J137-I137)/365</f>
        <v>9.4657534246575334</v>
      </c>
      <c r="L137" s="1">
        <f ca="1">+K137*'Vessel Valuations'!$F$48^3+K137*'Vessel Valuations'!$G$48^2+K137*'Vessel Valuations'!$H$48+'Vessel Valuations'!$I$48</f>
        <v>31.961930535202836</v>
      </c>
      <c r="M137" s="1"/>
      <c r="N137" s="1"/>
      <c r="O137" s="1"/>
      <c r="P137" s="1"/>
      <c r="Q137" s="1"/>
      <c r="R137" s="1"/>
      <c r="AI137" s="21"/>
      <c r="AJ137" s="21"/>
    </row>
    <row r="138" spans="3:36" s="20" customFormat="1" x14ac:dyDescent="0.2">
      <c r="C138" s="17" t="s">
        <v>447</v>
      </c>
      <c r="D138" s="67" t="s">
        <v>15</v>
      </c>
      <c r="E138" s="58" t="s">
        <v>466</v>
      </c>
      <c r="F138" s="34">
        <v>0</v>
      </c>
      <c r="G138" s="69"/>
      <c r="H138" s="1"/>
      <c r="I138" s="55">
        <v>42005</v>
      </c>
      <c r="J138" s="55">
        <f ca="1">TODAY()</f>
        <v>45460</v>
      </c>
      <c r="K138" s="56">
        <f ca="1">+(J138-I138)/365</f>
        <v>9.4657534246575334</v>
      </c>
      <c r="L138" s="1">
        <f ca="1">+K138*'Vessel Valuations'!$F$48^3+K138*'Vessel Valuations'!$G$48^2+K138*'Vessel Valuations'!$H$48+'Vessel Valuations'!$I$48</f>
        <v>31.961930535202836</v>
      </c>
      <c r="M138" s="1"/>
      <c r="N138" s="1"/>
      <c r="O138" s="1"/>
      <c r="P138" s="1"/>
      <c r="Q138" s="1"/>
      <c r="R138" s="1"/>
      <c r="AI138" s="21"/>
      <c r="AJ138" s="21"/>
    </row>
    <row r="139" spans="3:36" s="20" customFormat="1" x14ac:dyDescent="0.2">
      <c r="C139" s="17" t="s">
        <v>450</v>
      </c>
      <c r="D139" s="67" t="s">
        <v>15</v>
      </c>
      <c r="E139" s="58" t="s">
        <v>466</v>
      </c>
      <c r="F139" s="34">
        <v>0</v>
      </c>
      <c r="G139" s="69"/>
      <c r="H139" s="1"/>
      <c r="I139" s="55">
        <v>41640</v>
      </c>
      <c r="J139" s="55">
        <f ca="1">TODAY()</f>
        <v>45460</v>
      </c>
      <c r="K139" s="56">
        <f ca="1">+(J139-I139)/365</f>
        <v>10.465753424657533</v>
      </c>
      <c r="L139" s="1">
        <f ca="1">+K139*'Vessel Valuations'!$F$48^3+K139*'Vessel Valuations'!$G$48^2+K139*'Vessel Valuations'!$H$48+'Vessel Valuations'!$I$48</f>
        <v>29.456436246566547</v>
      </c>
      <c r="M139" s="1"/>
      <c r="N139" s="1"/>
      <c r="O139" s="1"/>
      <c r="P139" s="1"/>
      <c r="Q139" s="1"/>
      <c r="R139" s="1"/>
      <c r="AI139" s="21"/>
      <c r="AJ139" s="21"/>
    </row>
    <row r="140" spans="3:36" s="20" customFormat="1" x14ac:dyDescent="0.2">
      <c r="C140" s="17" t="s">
        <v>448</v>
      </c>
      <c r="D140" s="67" t="s">
        <v>15</v>
      </c>
      <c r="E140" s="58" t="s">
        <v>466</v>
      </c>
      <c r="F140" s="34">
        <v>0</v>
      </c>
      <c r="G140" s="69"/>
      <c r="H140" s="1"/>
      <c r="I140" s="55">
        <v>41640</v>
      </c>
      <c r="J140" s="55">
        <f ca="1">TODAY()</f>
        <v>45460</v>
      </c>
      <c r="K140" s="56">
        <f ca="1">+(J140-I140)/365</f>
        <v>10.465753424657533</v>
      </c>
      <c r="L140" s="1">
        <f ca="1">+K140*'Vessel Valuations'!$F$48^3+K140*'Vessel Valuations'!$G$48^2+K140*'Vessel Valuations'!$H$48+'Vessel Valuations'!$I$48</f>
        <v>29.456436246566547</v>
      </c>
      <c r="M140" s="1"/>
      <c r="N140" s="1"/>
      <c r="O140" s="1"/>
      <c r="P140" s="1"/>
      <c r="Q140" s="1"/>
      <c r="R140" s="1"/>
      <c r="AI140" s="21"/>
      <c r="AJ140" s="21"/>
    </row>
    <row r="141" spans="3:36" s="20" customFormat="1" x14ac:dyDescent="0.2">
      <c r="C141" s="17" t="s">
        <v>439</v>
      </c>
      <c r="D141" s="2" t="s">
        <v>15</v>
      </c>
      <c r="E141" s="58" t="s">
        <v>466</v>
      </c>
      <c r="F141" s="34">
        <v>0</v>
      </c>
      <c r="G141" s="66"/>
      <c r="H141" s="1"/>
      <c r="I141" s="55">
        <v>40909</v>
      </c>
      <c r="J141" s="55">
        <f t="shared" ca="1" si="19"/>
        <v>45460</v>
      </c>
      <c r="K141" s="56">
        <f t="shared" ca="1" si="20"/>
        <v>12.468493150684932</v>
      </c>
      <c r="L141" s="1">
        <f ca="1">+K141*'Vessel Valuations'!$F$48^3+K141*'Vessel Valuations'!$G$48^2+K141*'Vessel Valuations'!$H$48+'Vessel Valuations'!$I$48</f>
        <v>24.438583301379893</v>
      </c>
      <c r="M141" s="1"/>
      <c r="N141" s="1"/>
      <c r="O141" s="1"/>
      <c r="P141" s="1"/>
      <c r="Q141" s="1"/>
      <c r="R141" s="1"/>
      <c r="AI141" s="21"/>
      <c r="AJ141" s="21"/>
    </row>
    <row r="142" spans="3:36" s="20" customFormat="1" x14ac:dyDescent="0.2">
      <c r="C142" s="17" t="s">
        <v>440</v>
      </c>
      <c r="D142" s="2" t="s">
        <v>15</v>
      </c>
      <c r="E142" s="58" t="s">
        <v>466</v>
      </c>
      <c r="F142" s="34">
        <v>0</v>
      </c>
      <c r="G142" s="66"/>
      <c r="H142" s="1"/>
      <c r="I142" s="55">
        <v>40909</v>
      </c>
      <c r="J142" s="55">
        <f t="shared" ca="1" si="19"/>
        <v>45460</v>
      </c>
      <c r="K142" s="56">
        <f t="shared" ca="1" si="20"/>
        <v>12.468493150684932</v>
      </c>
      <c r="L142" s="1">
        <f ca="1">+K142*'Vessel Valuations'!$F$48^3+K142*'Vessel Valuations'!$G$48^2+K142*'Vessel Valuations'!$H$48+'Vessel Valuations'!$I$48</f>
        <v>24.438583301379893</v>
      </c>
      <c r="M142" s="1"/>
      <c r="N142" s="1"/>
      <c r="O142" s="1"/>
      <c r="P142" s="1"/>
      <c r="Q142" s="1"/>
      <c r="R142" s="1"/>
      <c r="AI142" s="21"/>
      <c r="AJ142" s="21"/>
    </row>
    <row r="143" spans="3:36" s="20" customFormat="1" x14ac:dyDescent="0.2">
      <c r="C143" s="17" t="s">
        <v>441</v>
      </c>
      <c r="D143" s="2" t="s">
        <v>15</v>
      </c>
      <c r="E143" s="58" t="s">
        <v>466</v>
      </c>
      <c r="F143" s="34">
        <v>0</v>
      </c>
      <c r="G143" s="66"/>
      <c r="H143" s="1"/>
      <c r="I143" s="55">
        <v>40544</v>
      </c>
      <c r="J143" s="55">
        <f t="shared" ca="1" si="19"/>
        <v>45460</v>
      </c>
      <c r="K143" s="56">
        <f t="shared" ca="1" si="20"/>
        <v>13.468493150684932</v>
      </c>
      <c r="L143" s="1">
        <f ca="1">+K143*'Vessel Valuations'!$F$48^3+K143*'Vessel Valuations'!$G$48^2+K143*'Vessel Valuations'!$H$48+'Vessel Valuations'!$I$48</f>
        <v>21.933089012743608</v>
      </c>
      <c r="M143" s="1"/>
      <c r="N143" s="1"/>
      <c r="O143" s="1"/>
      <c r="P143" s="1"/>
      <c r="Q143" s="1"/>
      <c r="R143" s="1"/>
      <c r="AI143" s="21"/>
      <c r="AJ143" s="21"/>
    </row>
    <row r="144" spans="3:36" s="20" customFormat="1" x14ac:dyDescent="0.2">
      <c r="C144" s="17" t="s">
        <v>442</v>
      </c>
      <c r="D144" s="2" t="s">
        <v>15</v>
      </c>
      <c r="E144" s="58" t="s">
        <v>466</v>
      </c>
      <c r="F144" s="34">
        <v>0</v>
      </c>
      <c r="G144" s="66"/>
      <c r="H144" s="1"/>
      <c r="I144" s="55">
        <v>40544</v>
      </c>
      <c r="J144" s="55">
        <f t="shared" ca="1" si="19"/>
        <v>45460</v>
      </c>
      <c r="K144" s="56">
        <f t="shared" ca="1" si="20"/>
        <v>13.468493150684932</v>
      </c>
      <c r="L144" s="1">
        <f ca="1">+K144*'Vessel Valuations'!$F$48^3+K144*'Vessel Valuations'!$G$48^2+K144*'Vessel Valuations'!$H$48+'Vessel Valuations'!$I$48</f>
        <v>21.933089012743608</v>
      </c>
      <c r="M144" s="1"/>
      <c r="N144" s="1"/>
      <c r="O144" s="1"/>
      <c r="P144" s="1"/>
      <c r="Q144" s="1"/>
      <c r="R144" s="1"/>
      <c r="AI144" s="21"/>
      <c r="AJ144" s="21"/>
    </row>
    <row r="145" spans="3:36" s="20" customFormat="1" x14ac:dyDescent="0.2">
      <c r="C145" s="17" t="s">
        <v>443</v>
      </c>
      <c r="D145" s="2" t="s">
        <v>15</v>
      </c>
      <c r="E145" s="58" t="s">
        <v>466</v>
      </c>
      <c r="F145" s="34">
        <v>0</v>
      </c>
      <c r="G145" s="66"/>
      <c r="H145" s="1"/>
      <c r="I145" s="55">
        <v>40544</v>
      </c>
      <c r="J145" s="55">
        <f t="shared" ca="1" si="19"/>
        <v>45460</v>
      </c>
      <c r="K145" s="56">
        <f t="shared" ca="1" si="20"/>
        <v>13.468493150684932</v>
      </c>
      <c r="L145" s="1">
        <f ca="1">+K145*'Vessel Valuations'!$F$48^3+K145*'Vessel Valuations'!$G$48^2+K145*'Vessel Valuations'!$H$48+'Vessel Valuations'!$I$48</f>
        <v>21.933089012743608</v>
      </c>
      <c r="M145" s="1"/>
      <c r="N145" s="1"/>
      <c r="O145" s="1"/>
      <c r="P145" s="1"/>
      <c r="Q145" s="1"/>
      <c r="R145" s="1"/>
      <c r="AI145" s="21"/>
      <c r="AJ145" s="21"/>
    </row>
    <row r="146" spans="3:36" s="20" customFormat="1" x14ac:dyDescent="0.2">
      <c r="C146" s="17" t="s">
        <v>444</v>
      </c>
      <c r="D146" s="2" t="s">
        <v>15</v>
      </c>
      <c r="E146" s="58" t="s">
        <v>466</v>
      </c>
      <c r="F146" s="34">
        <v>0</v>
      </c>
      <c r="G146" s="66"/>
      <c r="H146" s="1"/>
      <c r="I146" s="55">
        <v>40179</v>
      </c>
      <c r="J146" s="55">
        <f t="shared" ca="1" si="19"/>
        <v>45460</v>
      </c>
      <c r="K146" s="56">
        <f t="shared" ca="1" si="20"/>
        <v>14.468493150684932</v>
      </c>
      <c r="L146" s="1">
        <f ca="1">+K146*'Vessel Valuations'!$F$48^3+K146*'Vessel Valuations'!$G$48^2+K146*'Vessel Valuations'!$H$48+'Vessel Valuations'!$I$48</f>
        <v>19.427594724107315</v>
      </c>
      <c r="M146" s="1"/>
      <c r="N146" s="1"/>
      <c r="O146" s="1"/>
      <c r="P146" s="1"/>
      <c r="Q146" s="1"/>
      <c r="R146" s="1"/>
      <c r="AI146" s="21"/>
      <c r="AJ146" s="21"/>
    </row>
    <row r="147" spans="3:36" s="20" customFormat="1" x14ac:dyDescent="0.2">
      <c r="C147" s="17" t="s">
        <v>449</v>
      </c>
      <c r="D147" s="67" t="s">
        <v>15</v>
      </c>
      <c r="E147" s="58" t="s">
        <v>467</v>
      </c>
      <c r="F147" s="34">
        <v>0</v>
      </c>
      <c r="G147" s="69"/>
      <c r="H147" s="1"/>
      <c r="I147" s="55">
        <v>41640</v>
      </c>
      <c r="J147" s="55">
        <f t="shared" ca="1" si="19"/>
        <v>45460</v>
      </c>
      <c r="K147" s="56">
        <f t="shared" ca="1" si="20"/>
        <v>10.465753424657533</v>
      </c>
      <c r="L147" s="1">
        <f ca="1">+K147*'Vessel Valuations'!$F$48^3+K147*'Vessel Valuations'!$G$48^2+K147*'Vessel Valuations'!$H$48+'Vessel Valuations'!$I$48</f>
        <v>29.456436246566547</v>
      </c>
      <c r="M147" s="1"/>
      <c r="N147" s="1"/>
      <c r="O147" s="1"/>
      <c r="P147" s="1"/>
      <c r="Q147" s="1"/>
      <c r="R147" s="1"/>
      <c r="AI147" s="21"/>
      <c r="AJ147" s="21"/>
    </row>
    <row r="148" spans="3:36" s="20" customFormat="1" x14ac:dyDescent="0.2">
      <c r="C148" s="17" t="s">
        <v>451</v>
      </c>
      <c r="D148" s="67" t="s">
        <v>15</v>
      </c>
      <c r="E148" s="58" t="s">
        <v>467</v>
      </c>
      <c r="F148" s="34">
        <v>0</v>
      </c>
      <c r="G148" s="69"/>
      <c r="H148" s="1"/>
      <c r="I148" s="55">
        <v>41640</v>
      </c>
      <c r="J148" s="55">
        <f t="shared" ca="1" si="19"/>
        <v>45460</v>
      </c>
      <c r="K148" s="56">
        <f t="shared" ca="1" si="20"/>
        <v>10.465753424657533</v>
      </c>
      <c r="L148" s="1">
        <f ca="1">+K148*'Vessel Valuations'!$F$48^3+K148*'Vessel Valuations'!$G$48^2+K148*'Vessel Valuations'!$H$48+'Vessel Valuations'!$I$48</f>
        <v>29.456436246566547</v>
      </c>
      <c r="M148" s="1"/>
      <c r="N148" s="1"/>
      <c r="O148" s="1"/>
      <c r="P148" s="1"/>
      <c r="Q148" s="1"/>
      <c r="R148" s="1"/>
      <c r="AI148" s="21"/>
      <c r="AJ148" s="21"/>
    </row>
    <row r="149" spans="3:36" s="20" customFormat="1" x14ac:dyDescent="0.2">
      <c r="C149" s="17" t="s">
        <v>452</v>
      </c>
      <c r="D149" s="67" t="s">
        <v>15</v>
      </c>
      <c r="E149" s="58" t="s">
        <v>468</v>
      </c>
      <c r="F149" s="34">
        <v>1</v>
      </c>
      <c r="G149" s="69"/>
      <c r="H149" s="1"/>
      <c r="I149" s="55">
        <v>43101</v>
      </c>
      <c r="J149" s="55">
        <f t="shared" ca="1" si="19"/>
        <v>45460</v>
      </c>
      <c r="K149" s="56">
        <f t="shared" ca="1" si="20"/>
        <v>6.463013698630137</v>
      </c>
      <c r="L149" s="1">
        <f ca="1">+K149*'Vessel Valuations'!$F$48^3+K149*'Vessel Valuations'!$G$48^2+K149*'Vessel Valuations'!$H$48+'Vessel Valuations'!$I$48</f>
        <v>39.485277769025771</v>
      </c>
      <c r="M149" s="1"/>
      <c r="N149" s="1"/>
      <c r="O149" s="1"/>
      <c r="P149" s="1"/>
      <c r="Q149" s="1"/>
      <c r="R149" s="1"/>
      <c r="AI149" s="21"/>
      <c r="AJ149" s="21"/>
    </row>
    <row r="150" spans="3:36" s="20" customFormat="1" x14ac:dyDescent="0.2">
      <c r="C150" s="17" t="s">
        <v>453</v>
      </c>
      <c r="D150" s="67" t="s">
        <v>15</v>
      </c>
      <c r="E150" s="58" t="s">
        <v>468</v>
      </c>
      <c r="F150" s="34">
        <v>1</v>
      </c>
      <c r="G150" s="69"/>
      <c r="H150" s="1"/>
      <c r="I150" s="55">
        <v>43101</v>
      </c>
      <c r="J150" s="55">
        <f t="shared" ca="1" si="19"/>
        <v>45460</v>
      </c>
      <c r="K150" s="56">
        <f t="shared" ca="1" si="20"/>
        <v>6.463013698630137</v>
      </c>
      <c r="L150" s="1">
        <f ca="1">+K150*'Vessel Valuations'!$F$48^3+K150*'Vessel Valuations'!$G$48^2+K150*'Vessel Valuations'!$H$48+'Vessel Valuations'!$I$48</f>
        <v>39.485277769025771</v>
      </c>
      <c r="M150" s="1"/>
      <c r="N150" s="1"/>
      <c r="O150" s="1"/>
      <c r="P150" s="1"/>
      <c r="Q150" s="1"/>
      <c r="R150" s="1"/>
      <c r="AI150" s="21"/>
      <c r="AJ150" s="21"/>
    </row>
    <row r="151" spans="3:36" s="20" customFormat="1" x14ac:dyDescent="0.2">
      <c r="C151" s="17" t="s">
        <v>455</v>
      </c>
      <c r="D151" s="67" t="s">
        <v>15</v>
      </c>
      <c r="E151" s="58" t="s">
        <v>468</v>
      </c>
      <c r="F151" s="34">
        <v>1</v>
      </c>
      <c r="G151" s="69"/>
      <c r="H151" s="1"/>
      <c r="I151" s="55">
        <v>42736</v>
      </c>
      <c r="J151" s="55">
        <f t="shared" ca="1" si="19"/>
        <v>45460</v>
      </c>
      <c r="K151" s="56">
        <f t="shared" ca="1" si="20"/>
        <v>7.463013698630137</v>
      </c>
      <c r="L151" s="1">
        <f ca="1">+K151*'Vessel Valuations'!$F$48^3+K151*'Vessel Valuations'!$G$48^2+K151*'Vessel Valuations'!$H$48+'Vessel Valuations'!$I$48</f>
        <v>36.979783480389486</v>
      </c>
      <c r="M151" s="1"/>
      <c r="N151" s="1"/>
      <c r="O151" s="1"/>
      <c r="P151" s="1"/>
      <c r="Q151" s="1"/>
      <c r="R151" s="1"/>
      <c r="AI151" s="21"/>
      <c r="AJ151" s="21"/>
    </row>
    <row r="152" spans="3:36" s="20" customFormat="1" x14ac:dyDescent="0.2">
      <c r="C152" s="17" t="s">
        <v>456</v>
      </c>
      <c r="D152" s="67" t="s">
        <v>15</v>
      </c>
      <c r="E152" s="58" t="s">
        <v>468</v>
      </c>
      <c r="F152" s="34">
        <v>1</v>
      </c>
      <c r="G152" s="69"/>
      <c r="H152" s="1"/>
      <c r="I152" s="55">
        <v>42736</v>
      </c>
      <c r="J152" s="55">
        <f t="shared" ca="1" si="19"/>
        <v>45460</v>
      </c>
      <c r="K152" s="56">
        <f t="shared" ca="1" si="20"/>
        <v>7.463013698630137</v>
      </c>
      <c r="L152" s="1">
        <f ca="1">+K152*'Vessel Valuations'!$F$48^3+K152*'Vessel Valuations'!$G$48^2+K152*'Vessel Valuations'!$H$48+'Vessel Valuations'!$I$48</f>
        <v>36.979783480389486</v>
      </c>
      <c r="M152" s="1"/>
      <c r="N152" s="1"/>
      <c r="O152" s="1"/>
      <c r="P152" s="1"/>
      <c r="Q152" s="1"/>
      <c r="R152" s="1"/>
      <c r="AI152" s="21"/>
      <c r="AJ152" s="21"/>
    </row>
    <row r="153" spans="3:36" s="20" customFormat="1" x14ac:dyDescent="0.2">
      <c r="C153" s="17" t="s">
        <v>457</v>
      </c>
      <c r="D153" s="67" t="s">
        <v>15</v>
      </c>
      <c r="E153" s="58" t="s">
        <v>470</v>
      </c>
      <c r="F153" s="34">
        <v>0</v>
      </c>
      <c r="G153" s="69"/>
      <c r="H153" s="1"/>
      <c r="I153" s="55">
        <v>41640</v>
      </c>
      <c r="J153" s="55">
        <f t="shared" ca="1" si="19"/>
        <v>45460</v>
      </c>
      <c r="K153" s="56">
        <f t="shared" ca="1" si="20"/>
        <v>10.465753424657533</v>
      </c>
      <c r="L153" s="1">
        <f ca="1">+K153*'Vessel Valuations'!$F$48^3+K153*'Vessel Valuations'!$G$48^2+K153*'Vessel Valuations'!$H$48+'Vessel Valuations'!$I$48</f>
        <v>29.456436246566547</v>
      </c>
      <c r="M153" s="1"/>
      <c r="N153" s="1"/>
      <c r="O153" s="1"/>
      <c r="P153" s="1"/>
      <c r="Q153" s="1"/>
      <c r="R153" s="1"/>
      <c r="AI153" s="21"/>
      <c r="AJ153" s="21"/>
    </row>
    <row r="154" spans="3:36" s="20" customFormat="1" x14ac:dyDescent="0.2">
      <c r="C154" s="17" t="s">
        <v>458</v>
      </c>
      <c r="D154" s="2" t="s">
        <v>15</v>
      </c>
      <c r="E154" s="58" t="s">
        <v>470</v>
      </c>
      <c r="F154" s="34">
        <v>0</v>
      </c>
      <c r="G154" s="69"/>
      <c r="H154" s="1"/>
      <c r="I154" s="55">
        <v>38718</v>
      </c>
      <c r="J154" s="55">
        <f t="shared" ca="1" si="19"/>
        <v>45460</v>
      </c>
      <c r="K154" s="56">
        <f t="shared" ca="1" si="20"/>
        <v>18.471232876712328</v>
      </c>
      <c r="L154" s="1">
        <f ca="1">+K154*'Vessel Valuations'!$F$48^3+K154*'Vessel Valuations'!$G$48^2+K154*'Vessel Valuations'!$H$48+'Vessel Valuations'!$I$48</f>
        <v>9.3987532016480912</v>
      </c>
      <c r="M154" s="1"/>
      <c r="N154" s="1"/>
      <c r="O154" s="1"/>
      <c r="P154" s="1"/>
      <c r="Q154" s="1"/>
      <c r="R154" s="1"/>
      <c r="AI154" s="21"/>
      <c r="AJ154" s="21"/>
    </row>
    <row r="155" spans="3:36" s="20" customFormat="1" x14ac:dyDescent="0.2">
      <c r="C155" s="17" t="s">
        <v>459</v>
      </c>
      <c r="D155" s="2" t="s">
        <v>15</v>
      </c>
      <c r="E155" s="58" t="s">
        <v>470</v>
      </c>
      <c r="F155" s="34">
        <v>0</v>
      </c>
      <c r="G155" s="69"/>
      <c r="H155" s="1"/>
      <c r="I155" s="55">
        <v>38353</v>
      </c>
      <c r="J155" s="55">
        <f t="shared" ca="1" si="19"/>
        <v>45460</v>
      </c>
      <c r="K155" s="56">
        <f t="shared" ca="1" si="20"/>
        <v>19.471232876712328</v>
      </c>
      <c r="L155" s="1">
        <f ca="1">+K155*'Vessel Valuations'!$F$48^3+K155*'Vessel Valuations'!$G$48^2+K155*'Vessel Valuations'!$H$48+'Vessel Valuations'!$I$48</f>
        <v>6.893258913011806</v>
      </c>
      <c r="M155" s="1"/>
      <c r="N155" s="1"/>
      <c r="O155" s="1"/>
      <c r="P155" s="1"/>
      <c r="Q155" s="1"/>
      <c r="R155" s="1"/>
      <c r="AI155" s="21"/>
      <c r="AJ155" s="21"/>
    </row>
    <row r="156" spans="3:36" s="20" customFormat="1" x14ac:dyDescent="0.2">
      <c r="C156" s="17" t="s">
        <v>460</v>
      </c>
      <c r="D156" s="2" t="s">
        <v>39</v>
      </c>
      <c r="E156" s="59" t="s">
        <v>466</v>
      </c>
      <c r="F156" s="34">
        <v>1</v>
      </c>
      <c r="G156" s="69"/>
      <c r="H156" s="1"/>
      <c r="I156" s="55">
        <v>42370</v>
      </c>
      <c r="J156" s="55">
        <f t="shared" ca="1" si="19"/>
        <v>45460</v>
      </c>
      <c r="K156" s="56">
        <f t="shared" ca="1" si="20"/>
        <v>8.4657534246575334</v>
      </c>
      <c r="L156" s="1">
        <f ca="1">+K156*'Vessel Valuations'!$F$49^3+K156*'Vessel Valuations'!$G$49^2+K156*'Vessel Valuations'!$H$49+'Vessel Valuations'!$I$49</f>
        <v>29.961440187633936</v>
      </c>
      <c r="M156" s="1"/>
      <c r="N156" s="1"/>
      <c r="O156" s="1"/>
      <c r="P156" s="1"/>
      <c r="Q156" s="1"/>
      <c r="R156" s="1"/>
      <c r="AI156" s="21"/>
      <c r="AJ156" s="21"/>
    </row>
    <row r="157" spans="3:36" s="20" customFormat="1" x14ac:dyDescent="0.2">
      <c r="C157" s="17" t="s">
        <v>461</v>
      </c>
      <c r="D157" s="2" t="s">
        <v>39</v>
      </c>
      <c r="E157" s="59" t="s">
        <v>466</v>
      </c>
      <c r="F157" s="34">
        <v>1</v>
      </c>
      <c r="G157" s="69"/>
      <c r="H157" s="1"/>
      <c r="I157" s="55">
        <v>42370</v>
      </c>
      <c r="J157" s="55">
        <f t="shared" ca="1" si="19"/>
        <v>45460</v>
      </c>
      <c r="K157" s="56">
        <f t="shared" ca="1" si="20"/>
        <v>8.4657534246575334</v>
      </c>
      <c r="L157" s="1">
        <f ca="1">+K157*'Vessel Valuations'!$F$49^3+K157*'Vessel Valuations'!$G$49^2+K157*'Vessel Valuations'!$H$49+'Vessel Valuations'!$I$49</f>
        <v>29.961440187633936</v>
      </c>
      <c r="M157" s="1"/>
      <c r="N157" s="1"/>
      <c r="O157" s="1"/>
      <c r="P157" s="1"/>
      <c r="Q157" s="1"/>
      <c r="R157" s="1"/>
      <c r="AI157" s="21"/>
      <c r="AJ157" s="21"/>
    </row>
    <row r="158" spans="3:36" s="20" customFormat="1" x14ac:dyDescent="0.2">
      <c r="C158" s="17" t="s">
        <v>462</v>
      </c>
      <c r="D158" s="2" t="s">
        <v>39</v>
      </c>
      <c r="E158" s="59" t="s">
        <v>466</v>
      </c>
      <c r="F158" s="34">
        <v>1</v>
      </c>
      <c r="G158" s="69"/>
      <c r="H158" s="1"/>
      <c r="I158" s="55">
        <v>42370</v>
      </c>
      <c r="J158" s="55">
        <f t="shared" ca="1" si="19"/>
        <v>45460</v>
      </c>
      <c r="K158" s="56">
        <f t="shared" ca="1" si="20"/>
        <v>8.4657534246575334</v>
      </c>
      <c r="L158" s="1">
        <f ca="1">+K158*'Vessel Valuations'!$F$49^3+K158*'Vessel Valuations'!$G$49^2+K158*'Vessel Valuations'!$H$49+'Vessel Valuations'!$I$49</f>
        <v>29.961440187633936</v>
      </c>
      <c r="M158" s="1"/>
      <c r="N158" s="1"/>
      <c r="O158" s="1"/>
      <c r="P158" s="1"/>
      <c r="Q158" s="1"/>
      <c r="R158" s="1"/>
      <c r="AI158" s="21"/>
      <c r="AJ158" s="21"/>
    </row>
    <row r="159" spans="3:36" s="20" customFormat="1" x14ac:dyDescent="0.2">
      <c r="C159" s="17" t="s">
        <v>463</v>
      </c>
      <c r="D159" s="2" t="s">
        <v>39</v>
      </c>
      <c r="E159" s="59" t="s">
        <v>466</v>
      </c>
      <c r="F159" s="34">
        <v>1</v>
      </c>
      <c r="G159" s="69"/>
      <c r="H159" s="1"/>
      <c r="I159" s="55">
        <v>42005</v>
      </c>
      <c r="J159" s="55">
        <f t="shared" ca="1" si="19"/>
        <v>45460</v>
      </c>
      <c r="K159" s="56">
        <f t="shared" ca="1" si="20"/>
        <v>9.4657534246575334</v>
      </c>
      <c r="L159" s="1">
        <f ca="1">+K159*'Vessel Valuations'!$F$49^3+K159*'Vessel Valuations'!$G$49^2+K159*'Vessel Valuations'!$H$49+'Vessel Valuations'!$I$49</f>
        <v>27.555271791032119</v>
      </c>
      <c r="M159" s="1"/>
      <c r="N159" s="1"/>
      <c r="O159" s="1"/>
      <c r="P159" s="1"/>
      <c r="Q159" s="1"/>
      <c r="R159" s="1"/>
      <c r="AI159" s="21"/>
      <c r="AJ159" s="21"/>
    </row>
    <row r="160" spans="3:36" x14ac:dyDescent="0.2">
      <c r="C160" s="17" t="s">
        <v>464</v>
      </c>
      <c r="D160" s="68" t="s">
        <v>39</v>
      </c>
      <c r="E160" s="58" t="s">
        <v>466</v>
      </c>
      <c r="F160" s="34">
        <v>0</v>
      </c>
      <c r="G160" s="70"/>
      <c r="I160" s="55">
        <v>41640</v>
      </c>
      <c r="J160" s="55">
        <f t="shared" ca="1" si="19"/>
        <v>45460</v>
      </c>
      <c r="K160" s="56">
        <f t="shared" ca="1" si="20"/>
        <v>10.465753424657533</v>
      </c>
      <c r="L160" s="1">
        <f ca="1">+K160*'Vessel Valuations'!$F$49^3+K160*'Vessel Valuations'!$G$49^2+K160*'Vessel Valuations'!$H$49+'Vessel Valuations'!$I$49</f>
        <v>25.149103394430298</v>
      </c>
    </row>
    <row r="161" spans="3:12" x14ac:dyDescent="0.2">
      <c r="C161" s="17" t="s">
        <v>465</v>
      </c>
      <c r="D161" s="68" t="s">
        <v>39</v>
      </c>
      <c r="E161" s="58" t="s">
        <v>466</v>
      </c>
      <c r="F161" s="34">
        <v>0</v>
      </c>
      <c r="G161" s="70"/>
      <c r="I161" s="55">
        <v>41640</v>
      </c>
      <c r="J161" s="55">
        <f t="shared" ca="1" si="19"/>
        <v>45460</v>
      </c>
      <c r="K161" s="56">
        <f t="shared" ca="1" si="20"/>
        <v>10.465753424657533</v>
      </c>
      <c r="L161" s="1">
        <f ca="1">+K161*'Vessel Valuations'!$F$49^3+K161*'Vessel Valuations'!$G$49^2+K161*'Vessel Valuations'!$H$49+'Vessel Valuations'!$I$49</f>
        <v>25.149103394430298</v>
      </c>
    </row>
  </sheetData>
  <mergeCells count="6">
    <mergeCell ref="Z3:AD3"/>
    <mergeCell ref="C3:C4"/>
    <mergeCell ref="F3:J3"/>
    <mergeCell ref="K3:O3"/>
    <mergeCell ref="P3:T3"/>
    <mergeCell ref="U3:Y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5F4F7-7704-431A-9CF9-2EBD76A8B887}">
  <dimension ref="C3:AJ170"/>
  <sheetViews>
    <sheetView showGridLines="0" zoomScale="120" zoomScaleNormal="120" workbookViewId="0">
      <pane xSplit="3" ySplit="4" topLeftCell="D146" activePane="bottomRight" state="frozen"/>
      <selection pane="topRight" activeCell="D1" sqref="D1"/>
      <selection pane="bottomLeft" activeCell="A5" sqref="A5"/>
      <selection pane="bottomRight" activeCell="E155" sqref="E155"/>
    </sheetView>
  </sheetViews>
  <sheetFormatPr defaultColWidth="8.7109375" defaultRowHeight="12.75" outlineLevelCol="1" x14ac:dyDescent="0.2"/>
  <cols>
    <col min="1" max="2" width="2.5703125" style="17" customWidth="1"/>
    <col min="3" max="3" width="45.28515625" style="17" bestFit="1" customWidth="1"/>
    <col min="4" max="5" width="8.5703125" style="20" customWidth="1"/>
    <col min="6" max="9" width="8.5703125" style="20" customWidth="1" outlineLevel="1"/>
    <col min="10" max="10" width="8.5703125" style="20" customWidth="1"/>
    <col min="11" max="14" width="8.5703125" style="20" customWidth="1" outlineLevel="1"/>
    <col min="15" max="15" width="8.5703125" style="20" customWidth="1"/>
    <col min="16" max="18" width="8.5703125" style="20" customWidth="1" outlineLevel="1"/>
    <col min="19" max="19" width="10.5703125" style="20" customWidth="1" outlineLevel="1"/>
    <col min="20" max="20" width="10.5703125" style="20" customWidth="1"/>
    <col min="21" max="24" width="10.5703125" style="20" customWidth="1" outlineLevel="1"/>
    <col min="25" max="25" width="10.5703125" style="20" customWidth="1"/>
    <col min="26" max="29" width="10.5703125" style="20" customWidth="1" outlineLevel="1"/>
    <col min="30" max="34" width="10.5703125" style="20" customWidth="1"/>
    <col min="35" max="36" width="8.7109375" style="21"/>
    <col min="37" max="16384" width="8.7109375" style="17"/>
  </cols>
  <sheetData>
    <row r="3" spans="3:30" ht="15" customHeight="1" thickBot="1" x14ac:dyDescent="0.25">
      <c r="C3" s="237" t="s">
        <v>96</v>
      </c>
      <c r="D3" s="25" t="s">
        <v>99</v>
      </c>
      <c r="E3" s="25" t="s">
        <v>100</v>
      </c>
      <c r="F3" s="234" t="s">
        <v>101</v>
      </c>
      <c r="G3" s="235"/>
      <c r="H3" s="235"/>
      <c r="I3" s="235"/>
      <c r="J3" s="236"/>
      <c r="K3" s="234" t="s">
        <v>102</v>
      </c>
      <c r="L3" s="235"/>
      <c r="M3" s="235"/>
      <c r="N3" s="235"/>
      <c r="O3" s="236"/>
      <c r="P3" s="234" t="s">
        <v>103</v>
      </c>
      <c r="Q3" s="235"/>
      <c r="R3" s="235"/>
      <c r="S3" s="235"/>
      <c r="T3" s="236"/>
      <c r="U3" s="234" t="s">
        <v>104</v>
      </c>
      <c r="V3" s="235"/>
      <c r="W3" s="235"/>
      <c r="X3" s="235"/>
      <c r="Y3" s="236"/>
      <c r="Z3" s="234" t="s">
        <v>105</v>
      </c>
      <c r="AA3" s="235"/>
      <c r="AB3" s="235"/>
      <c r="AC3" s="235"/>
      <c r="AD3" s="236"/>
    </row>
    <row r="4" spans="3:30" ht="13.5" thickBot="1" x14ac:dyDescent="0.25">
      <c r="C4" s="236"/>
      <c r="D4" s="26" t="s">
        <v>97</v>
      </c>
      <c r="E4" s="26" t="s">
        <v>97</v>
      </c>
      <c r="F4" s="27">
        <v>44256</v>
      </c>
      <c r="G4" s="27">
        <v>44348</v>
      </c>
      <c r="H4" s="27">
        <v>44440</v>
      </c>
      <c r="I4" s="27">
        <v>44531</v>
      </c>
      <c r="J4" s="26" t="s">
        <v>97</v>
      </c>
      <c r="K4" s="27">
        <v>44621</v>
      </c>
      <c r="L4" s="27">
        <v>44713</v>
      </c>
      <c r="M4" s="27">
        <v>44805</v>
      </c>
      <c r="N4" s="27">
        <v>44896</v>
      </c>
      <c r="O4" s="26" t="s">
        <v>97</v>
      </c>
      <c r="P4" s="27">
        <v>44986</v>
      </c>
      <c r="Q4" s="27">
        <v>45078</v>
      </c>
      <c r="R4" s="27">
        <v>45170</v>
      </c>
      <c r="S4" s="27">
        <v>45261</v>
      </c>
      <c r="T4" s="26" t="s">
        <v>97</v>
      </c>
      <c r="U4" s="27">
        <v>45352</v>
      </c>
      <c r="V4" s="27">
        <v>45444</v>
      </c>
      <c r="W4" s="27">
        <v>45536</v>
      </c>
      <c r="X4" s="27">
        <v>45627</v>
      </c>
      <c r="Y4" s="26" t="s">
        <v>97</v>
      </c>
      <c r="Z4" s="27">
        <v>45717</v>
      </c>
      <c r="AA4" s="27">
        <v>45809</v>
      </c>
      <c r="AB4" s="27">
        <v>45901</v>
      </c>
      <c r="AC4" s="27">
        <v>45992</v>
      </c>
      <c r="AD4" s="26" t="s">
        <v>97</v>
      </c>
    </row>
    <row r="5" spans="3:30" ht="5.0999999999999996" customHeight="1" x14ac:dyDescent="0.2">
      <c r="C5" s="28"/>
      <c r="D5" s="28"/>
      <c r="E5" s="29"/>
      <c r="F5" s="29"/>
      <c r="G5" s="29"/>
      <c r="H5" s="29"/>
      <c r="I5" s="29"/>
      <c r="J5" s="29"/>
      <c r="K5" s="29"/>
      <c r="L5" s="29"/>
      <c r="M5" s="29"/>
      <c r="N5" s="29"/>
      <c r="O5" s="29"/>
      <c r="P5" s="29"/>
      <c r="Q5" s="29"/>
      <c r="R5" s="29"/>
      <c r="S5" s="29"/>
      <c r="T5" s="29"/>
      <c r="U5" s="29"/>
      <c r="V5" s="29"/>
      <c r="W5" s="29"/>
    </row>
    <row r="6" spans="3:30" x14ac:dyDescent="0.2">
      <c r="C6" s="30" t="s">
        <v>98</v>
      </c>
      <c r="D6" s="31"/>
      <c r="E6" s="31"/>
      <c r="F6" s="31"/>
      <c r="G6" s="31"/>
      <c r="H6" s="31"/>
      <c r="I6" s="31"/>
      <c r="J6" s="31"/>
      <c r="K6" s="31"/>
      <c r="L6" s="31"/>
      <c r="M6" s="31"/>
      <c r="N6" s="31"/>
      <c r="O6" s="31"/>
      <c r="P6" s="31"/>
      <c r="Q6" s="31"/>
      <c r="R6" s="31"/>
      <c r="S6" s="31"/>
      <c r="T6" s="31"/>
      <c r="U6" s="31"/>
      <c r="V6" s="31"/>
      <c r="W6" s="31"/>
      <c r="X6" s="31"/>
      <c r="Y6" s="31"/>
      <c r="Z6" s="31"/>
      <c r="AA6" s="31"/>
      <c r="AB6" s="31"/>
      <c r="AC6" s="31"/>
      <c r="AD6" s="31"/>
    </row>
    <row r="7" spans="3:30" x14ac:dyDescent="0.2">
      <c r="C7" s="17" t="s">
        <v>471</v>
      </c>
      <c r="D7" s="34">
        <v>28.789458</v>
      </c>
      <c r="E7" s="34">
        <v>23.594677999999998</v>
      </c>
      <c r="F7" s="34">
        <v>9.0961870000000005</v>
      </c>
      <c r="G7" s="34">
        <v>14.949407000000001</v>
      </c>
      <c r="H7" s="34">
        <v>20.718567</v>
      </c>
      <c r="I7" s="34">
        <v>23.742567999999999</v>
      </c>
      <c r="J7" s="34">
        <v>68.506729000000007</v>
      </c>
      <c r="K7" s="34">
        <v>19.421721999999999</v>
      </c>
      <c r="L7" s="34">
        <v>22.266855</v>
      </c>
      <c r="M7" s="34">
        <v>16.799697999999999</v>
      </c>
      <c r="N7" s="34">
        <v>16.081592000000001</v>
      </c>
      <c r="O7" s="34">
        <v>74.569866999999988</v>
      </c>
      <c r="P7" s="34">
        <v>11.927624999999999</v>
      </c>
      <c r="Q7" s="34">
        <v>10.971323</v>
      </c>
      <c r="R7" s="34">
        <v>10.665929</v>
      </c>
      <c r="S7" s="34">
        <v>16.869755000000001</v>
      </c>
      <c r="T7" s="34">
        <f>+SUM(P7:S7)</f>
        <v>50.434631999999993</v>
      </c>
      <c r="U7" s="34"/>
      <c r="V7" s="34"/>
      <c r="W7" s="34"/>
      <c r="X7" s="34"/>
      <c r="Y7" s="34"/>
      <c r="Z7" s="34"/>
      <c r="AA7" s="34"/>
      <c r="AB7" s="34"/>
      <c r="AC7" s="34"/>
      <c r="AD7" s="34"/>
    </row>
    <row r="8" spans="3:30" x14ac:dyDescent="0.2">
      <c r="C8" s="17" t="s">
        <v>75</v>
      </c>
      <c r="D8" s="34">
        <v>-1.5479959999999999</v>
      </c>
      <c r="E8" s="34">
        <v>-1.305717</v>
      </c>
      <c r="F8" s="34">
        <v>-0.52248600000000001</v>
      </c>
      <c r="G8" s="34">
        <v>-0.85720200000000002</v>
      </c>
      <c r="H8" s="34">
        <v>-1.262785</v>
      </c>
      <c r="I8" s="34">
        <v>-1.4224300000000001</v>
      </c>
      <c r="J8" s="34">
        <v>-4.0649030000000002</v>
      </c>
      <c r="K8" s="34">
        <v>-1.143022</v>
      </c>
      <c r="L8" s="34">
        <v>-1.2931779999999999</v>
      </c>
      <c r="M8" s="34">
        <v>-0.98562499999999997</v>
      </c>
      <c r="N8" s="34">
        <v>-0.964673</v>
      </c>
      <c r="O8" s="34">
        <v>-4.3864980000000005</v>
      </c>
      <c r="P8" s="34">
        <v>-0.58565699999999998</v>
      </c>
      <c r="Q8" s="34">
        <v>-0.62890500000000005</v>
      </c>
      <c r="R8" s="34">
        <v>-0.65717499999999995</v>
      </c>
      <c r="S8" s="34">
        <v>-0.97097100000000003</v>
      </c>
      <c r="T8" s="34">
        <f>+SUM(P8:S8)</f>
        <v>-2.842708</v>
      </c>
      <c r="U8" s="34"/>
      <c r="V8" s="34"/>
      <c r="W8" s="34"/>
      <c r="X8" s="34"/>
      <c r="Y8" s="34"/>
      <c r="Z8" s="34"/>
      <c r="AA8" s="34"/>
      <c r="AB8" s="34"/>
      <c r="AC8" s="34"/>
      <c r="AD8" s="34"/>
    </row>
    <row r="9" spans="3:30" x14ac:dyDescent="0.2">
      <c r="C9" s="17" t="s">
        <v>76</v>
      </c>
      <c r="D9" s="34">
        <v>-1.117022</v>
      </c>
      <c r="E9" s="34">
        <v>-0.285132</v>
      </c>
      <c r="F9" s="34">
        <v>0.30590200000000001</v>
      </c>
      <c r="G9" s="34">
        <v>0.13717299999999999</v>
      </c>
      <c r="H9" s="34">
        <v>9.7247E-2</v>
      </c>
      <c r="I9" s="34">
        <v>0.21567600000000001</v>
      </c>
      <c r="J9" s="34">
        <v>0.75599799999999995</v>
      </c>
      <c r="K9" s="34">
        <v>1.0018260000000001</v>
      </c>
      <c r="L9" s="34">
        <v>-0.10653600000000001</v>
      </c>
      <c r="M9" s="34">
        <v>1.9714069999999999</v>
      </c>
      <c r="N9" s="34">
        <v>-0.84157700000000002</v>
      </c>
      <c r="O9" s="34">
        <v>2.0251200000000003</v>
      </c>
      <c r="P9" s="34">
        <v>-2.4351229999999999</v>
      </c>
      <c r="Q9" s="34">
        <v>-1.087162</v>
      </c>
      <c r="R9" s="34">
        <v>8.0185000000000006E-2</v>
      </c>
      <c r="S9" s="34">
        <v>-0.55093099999999995</v>
      </c>
      <c r="T9" s="34">
        <f>+SUM(P9:S9)</f>
        <v>-3.9930309999999998</v>
      </c>
      <c r="U9" s="34"/>
      <c r="V9" s="34"/>
      <c r="W9" s="34"/>
      <c r="X9" s="34"/>
      <c r="Y9" s="34"/>
      <c r="Z9" s="34"/>
      <c r="AA9" s="34"/>
      <c r="AB9" s="34"/>
      <c r="AC9" s="34"/>
      <c r="AD9" s="34"/>
    </row>
    <row r="10" spans="3:30" x14ac:dyDescent="0.2">
      <c r="C10" s="32" t="s">
        <v>77</v>
      </c>
      <c r="D10" s="33">
        <f>SUM(D7:D9)</f>
        <v>26.12444</v>
      </c>
      <c r="E10" s="33">
        <f t="shared" ref="E10:T10" si="0">SUM(E7:E9)</f>
        <v>22.003828999999996</v>
      </c>
      <c r="F10" s="33">
        <f t="shared" si="0"/>
        <v>8.8796029999999995</v>
      </c>
      <c r="G10" s="33">
        <f t="shared" si="0"/>
        <v>14.229378000000001</v>
      </c>
      <c r="H10" s="33">
        <f t="shared" si="0"/>
        <v>19.553028999999999</v>
      </c>
      <c r="I10" s="33">
        <f t="shared" si="0"/>
        <v>22.535813999999998</v>
      </c>
      <c r="J10" s="33">
        <f t="shared" si="0"/>
        <v>65.197824000000011</v>
      </c>
      <c r="K10" s="33">
        <f t="shared" si="0"/>
        <v>19.280526000000002</v>
      </c>
      <c r="L10" s="33">
        <f t="shared" si="0"/>
        <v>20.867141</v>
      </c>
      <c r="M10" s="33">
        <f t="shared" si="0"/>
        <v>17.78548</v>
      </c>
      <c r="N10" s="33">
        <f t="shared" si="0"/>
        <v>14.275342000000002</v>
      </c>
      <c r="O10" s="33">
        <f t="shared" si="0"/>
        <v>72.208488999999986</v>
      </c>
      <c r="P10" s="33">
        <f t="shared" si="0"/>
        <v>8.9068450000000006</v>
      </c>
      <c r="Q10" s="33">
        <f t="shared" si="0"/>
        <v>9.255256000000001</v>
      </c>
      <c r="R10" s="33">
        <f t="shared" si="0"/>
        <v>10.088939</v>
      </c>
      <c r="S10" s="33">
        <f t="shared" si="0"/>
        <v>15.347853000000001</v>
      </c>
      <c r="T10" s="33">
        <f t="shared" si="0"/>
        <v>43.59889299999999</v>
      </c>
      <c r="U10" s="33">
        <f>+(SUM(U149:U161)*U164*U163)/1000000</f>
        <v>13.618469212500003</v>
      </c>
      <c r="V10" s="33">
        <f>+(SUM(V149:V161)*V164*V163)/1000000</f>
        <v>14.59109256</v>
      </c>
      <c r="W10" s="33">
        <f>+(SUM(W149:W161)*W164*W163)/1000000</f>
        <v>17.786886479999996</v>
      </c>
      <c r="X10" s="33">
        <f>+(SUM(X149:X161)*X164*X163)/1000000</f>
        <v>19.136518515000002</v>
      </c>
      <c r="Y10" s="33">
        <f>+SUM(U10:X10)</f>
        <v>65.132966767500008</v>
      </c>
      <c r="Z10" s="33">
        <f>+(SUM(Z149:Z161)*Z164*Z163)/1000000</f>
        <v>13.141127700000002</v>
      </c>
      <c r="AA10" s="33">
        <f>+(SUM(AA149:AA161)*AA164*AA163)/1000000</f>
        <v>18.504671804999997</v>
      </c>
      <c r="AB10" s="33">
        <f>+(SUM(AB149:AB161)*AB164*AB163)/1000000</f>
        <v>24.254185994999993</v>
      </c>
      <c r="AC10" s="33">
        <f>+(SUM(AC149:AC161)*AC164*AC163)/1000000</f>
        <v>23.099959080000001</v>
      </c>
      <c r="AD10" s="33">
        <f>+SUM(Z10:AC10)</f>
        <v>78.99994457999999</v>
      </c>
    </row>
    <row r="11" spans="3:30" ht="5.0999999999999996" customHeight="1" x14ac:dyDescent="0.2">
      <c r="C11" s="18"/>
      <c r="D11" s="35"/>
      <c r="E11" s="35"/>
      <c r="F11" s="35"/>
      <c r="G11" s="35"/>
      <c r="H11" s="35"/>
      <c r="I11" s="35"/>
      <c r="J11" s="35"/>
      <c r="K11" s="35"/>
      <c r="L11" s="35"/>
      <c r="M11" s="35"/>
      <c r="N11" s="35"/>
      <c r="O11" s="35"/>
      <c r="P11" s="35"/>
      <c r="Q11" s="35"/>
      <c r="R11" s="35"/>
      <c r="S11" s="35"/>
      <c r="T11" s="35"/>
    </row>
    <row r="12" spans="3:30" x14ac:dyDescent="0.2">
      <c r="C12" s="17" t="s">
        <v>476</v>
      </c>
      <c r="D12" s="34">
        <v>-10.776338000000001</v>
      </c>
      <c r="E12" s="34">
        <v>-11.603414000000001</v>
      </c>
      <c r="F12" s="34">
        <v>-3.0610550000000001</v>
      </c>
      <c r="G12" s="34">
        <v>-3.1808879999999999</v>
      </c>
      <c r="H12" s="34">
        <v>-3.6513010000000001</v>
      </c>
      <c r="I12" s="34">
        <v>-3.6718479999999998</v>
      </c>
      <c r="J12" s="34">
        <v>-13.565092</v>
      </c>
      <c r="K12" s="34">
        <v>-4.2287910000000002</v>
      </c>
      <c r="L12" s="34">
        <v>-4.9963670000000002</v>
      </c>
      <c r="M12" s="34">
        <v>-5.2092559999999999</v>
      </c>
      <c r="N12" s="34">
        <v>-4.8994840000000002</v>
      </c>
      <c r="O12" s="34">
        <v>-19.333898000000001</v>
      </c>
      <c r="P12" s="34">
        <v>-4.6906850000000002</v>
      </c>
      <c r="Q12" s="34">
        <v>-5.3956010000000001</v>
      </c>
      <c r="R12" s="34">
        <v>-4.7342649999999997</v>
      </c>
      <c r="S12" s="34">
        <v>-6.072451</v>
      </c>
      <c r="T12" s="34">
        <f>+SUM(P12:S12)</f>
        <v>-20.893002000000003</v>
      </c>
      <c r="U12" s="40">
        <f>-U166*U164*COUNT(U149:U161)/1000000</f>
        <v>-7.2996299999999996</v>
      </c>
      <c r="V12" s="40">
        <f>-V166*V164*COUNT(V149:V161)/1000000</f>
        <v>-7.2996299999999996</v>
      </c>
      <c r="W12" s="40">
        <f>-W166*W164*COUNT(W149:W161)/1000000</f>
        <v>-7.2996299999999996</v>
      </c>
      <c r="X12" s="40">
        <f>-X166*X164*COUNT(X149:X161)/1000000</f>
        <v>-7.2996299999999996</v>
      </c>
      <c r="Y12" s="131">
        <f>+SUM(U12:X12)</f>
        <v>-29.198519999999998</v>
      </c>
      <c r="Z12" s="40">
        <f>-Z166*Z164*COUNT(Z149:Z161)/1000000</f>
        <v>-7.2996299999999996</v>
      </c>
      <c r="AA12" s="40">
        <f>-AA166*AA164*COUNT(AA149:AA161)/1000000</f>
        <v>-7.2996299999999996</v>
      </c>
      <c r="AB12" s="40">
        <f>-AB166*AB164*COUNT(AB149:AB161)/1000000</f>
        <v>-7.2996299999999996</v>
      </c>
      <c r="AC12" s="40">
        <f>-AC166*AC164*COUNT(AC149:AC161)/1000000</f>
        <v>-7.2996299999999996</v>
      </c>
      <c r="AD12" s="131">
        <f>+SUM(Z12:AC12)</f>
        <v>-29.198519999999998</v>
      </c>
    </row>
    <row r="13" spans="3:30" x14ac:dyDescent="0.2">
      <c r="C13" s="17" t="s">
        <v>472</v>
      </c>
      <c r="D13" s="34">
        <v>-1.6649149999999999</v>
      </c>
      <c r="E13" s="34">
        <v>-2.275258</v>
      </c>
      <c r="F13" s="34">
        <v>-7.9209999999999992E-3</v>
      </c>
      <c r="G13" s="34">
        <v>-4.9252999999999998E-2</v>
      </c>
      <c r="H13" s="34">
        <v>-3.9771000000000001E-2</v>
      </c>
      <c r="I13" s="34">
        <v>-1.4899999999999999E-4</v>
      </c>
      <c r="J13" s="34">
        <v>-9.7094E-2</v>
      </c>
      <c r="K13" s="34">
        <v>-0.90220900000000004</v>
      </c>
      <c r="L13" s="34">
        <v>-0.78377600000000003</v>
      </c>
      <c r="M13" s="34">
        <v>-2.7282660000000001</v>
      </c>
      <c r="N13" s="34">
        <v>-0.40230700000000003</v>
      </c>
      <c r="O13" s="34">
        <v>-4.8165580000000006</v>
      </c>
      <c r="P13" s="34">
        <v>-0.50782700000000003</v>
      </c>
      <c r="Q13" s="34">
        <v>-1.6120080000000001</v>
      </c>
      <c r="R13" s="34">
        <v>-0.81924600000000003</v>
      </c>
      <c r="S13" s="34">
        <v>-0.46524199999999999</v>
      </c>
      <c r="T13" s="34">
        <f>+SUM(P13:S13)</f>
        <v>-3.4043230000000002</v>
      </c>
      <c r="U13" s="40">
        <f>-(U169*U164*COUNT(U149:U161))/1000000</f>
        <v>-0.48320999999999997</v>
      </c>
      <c r="V13" s="40">
        <f>-(V169*V164*COUNT(V149:V161))/1000000</f>
        <v>-0.48320999999999997</v>
      </c>
      <c r="W13" s="40">
        <f>-(W169*W164*COUNT(W149:W161))/1000000</f>
        <v>-0.48320999999999997</v>
      </c>
      <c r="X13" s="40">
        <f>-(X169*X164*COUNT(X149:X161))/1000000</f>
        <v>-0.48320999999999997</v>
      </c>
      <c r="Y13" s="131">
        <f>+SUM(U13:X13)</f>
        <v>-1.9328399999999999</v>
      </c>
      <c r="Z13" s="40">
        <f>-(Z169*Z164*COUNT(Z149:Z161))/1000000</f>
        <v>-0.48320999999999997</v>
      </c>
      <c r="AA13" s="40">
        <f>-(AA169*AA164*COUNT(AA149:AA161))/1000000</f>
        <v>-0.48320999999999997</v>
      </c>
      <c r="AB13" s="40">
        <f>-(AB169*AB164*COUNT(AB149:AB161))/1000000</f>
        <v>-0.48320999999999997</v>
      </c>
      <c r="AC13" s="40">
        <f>-(AC169*AC164*COUNT(AC149:AC161))/1000000</f>
        <v>-0.48320999999999997</v>
      </c>
      <c r="AD13" s="131">
        <f>+SUM(Z13:AC13)</f>
        <v>-1.9328399999999999</v>
      </c>
    </row>
    <row r="14" spans="3:30" x14ac:dyDescent="0.2">
      <c r="C14" s="17" t="s">
        <v>473</v>
      </c>
      <c r="D14" s="34">
        <v>-1.9645360000000001</v>
      </c>
      <c r="E14" s="34">
        <v>-2.0188000000000001</v>
      </c>
      <c r="F14" s="34">
        <v>-0.52639999999999998</v>
      </c>
      <c r="G14" s="34">
        <v>-0.55942499999999995</v>
      </c>
      <c r="H14" s="34">
        <v>-0.60894800000000004</v>
      </c>
      <c r="I14" s="34">
        <v>-0.65597399999999995</v>
      </c>
      <c r="J14" s="34">
        <v>-2.3507469999999997</v>
      </c>
      <c r="K14" s="34">
        <v>-0.699075</v>
      </c>
      <c r="L14" s="34">
        <v>-0.76498900000000003</v>
      </c>
      <c r="M14" s="34">
        <v>-0.75411700000000004</v>
      </c>
      <c r="N14" s="34">
        <v>-0.749892</v>
      </c>
      <c r="O14" s="34">
        <v>-2.968073</v>
      </c>
      <c r="P14" s="34">
        <v>-0.767455</v>
      </c>
      <c r="Q14" s="34">
        <v>-0.77390000000000003</v>
      </c>
      <c r="R14" s="34">
        <v>-0.78810999999999998</v>
      </c>
      <c r="S14" s="34">
        <v>-0.95189599999999996</v>
      </c>
      <c r="T14" s="34">
        <f>+SUM(P14:S14)</f>
        <v>-3.281361</v>
      </c>
      <c r="U14" s="40">
        <v>0</v>
      </c>
      <c r="V14" s="40">
        <v>0</v>
      </c>
      <c r="W14" s="40">
        <v>0</v>
      </c>
      <c r="X14" s="40">
        <v>0</v>
      </c>
      <c r="Y14" s="131">
        <f>+SUM(U14:X14)</f>
        <v>0</v>
      </c>
      <c r="Z14" s="40">
        <v>0</v>
      </c>
      <c r="AA14" s="40">
        <v>0</v>
      </c>
      <c r="AB14" s="40">
        <v>0</v>
      </c>
      <c r="AC14" s="40">
        <v>0</v>
      </c>
      <c r="AD14" s="131">
        <f>+SUM(Z14:AC14)</f>
        <v>0</v>
      </c>
    </row>
    <row r="15" spans="3:30" x14ac:dyDescent="0.2">
      <c r="C15" s="17" t="s">
        <v>474</v>
      </c>
      <c r="D15" s="34">
        <v>-2.2526660000000001</v>
      </c>
      <c r="E15" s="34">
        <v>-2.2912439999999998</v>
      </c>
      <c r="F15" s="34">
        <v>-0.55252299999999999</v>
      </c>
      <c r="G15" s="34">
        <v>-0.59862800000000005</v>
      </c>
      <c r="H15" s="34">
        <v>-0.57878399999999997</v>
      </c>
      <c r="I15" s="34">
        <v>-0.90849199999999997</v>
      </c>
      <c r="J15" s="34">
        <v>-2.6384270000000001</v>
      </c>
      <c r="K15" s="34">
        <v>-0.74967899999999998</v>
      </c>
      <c r="L15" s="34">
        <v>-0.68255699999999997</v>
      </c>
      <c r="M15" s="34">
        <v>-0.70799299999999998</v>
      </c>
      <c r="N15" s="34">
        <v>-0.93235400000000002</v>
      </c>
      <c r="O15" s="34">
        <v>-3.0725830000000003</v>
      </c>
      <c r="P15" s="34">
        <v>-0.79954899999999995</v>
      </c>
      <c r="Q15" s="34">
        <v>-0.797566</v>
      </c>
      <c r="R15" s="34">
        <v>-0.62276699999999996</v>
      </c>
      <c r="S15" s="34">
        <v>-1.2400610000000001</v>
      </c>
      <c r="T15" s="34">
        <f>+SUM(P15:S15)</f>
        <v>-3.459943</v>
      </c>
      <c r="U15" s="40">
        <f>-(U167*U164*COUNT(U149:U161))/1000000</f>
        <v>-1.28817</v>
      </c>
      <c r="V15" s="40">
        <f>-(V167*V164*COUNT(V149:V161))/1000000</f>
        <v>-1.28817</v>
      </c>
      <c r="W15" s="40">
        <f>-(W167*W164*COUNT(W149:W161))/1000000</f>
        <v>-1.28817</v>
      </c>
      <c r="X15" s="40">
        <f>-(X167*X164*COUNT(X149:X161))/1000000</f>
        <v>-1.28817</v>
      </c>
      <c r="Y15" s="131">
        <f>+SUM(U15:X15)</f>
        <v>-5.1526800000000001</v>
      </c>
      <c r="Z15" s="40">
        <f>-(Z167*Z164*COUNT(Z149:Z161))/1000000</f>
        <v>-1.28817</v>
      </c>
      <c r="AA15" s="40">
        <f>-(AA167*AA164*COUNT(AA149:AA161))/1000000</f>
        <v>-1.28817</v>
      </c>
      <c r="AB15" s="40">
        <f>-(AB167*AB164*COUNT(AB149:AB161))/1000000</f>
        <v>-1.28817</v>
      </c>
      <c r="AC15" s="40">
        <f>-(AC167*AC164*COUNT(AC149:AC161))/1000000</f>
        <v>-1.28817</v>
      </c>
      <c r="AD15" s="131">
        <f>+SUM(Z15:AC15)</f>
        <v>-5.1526800000000001</v>
      </c>
    </row>
    <row r="16" spans="3:30" x14ac:dyDescent="0.2">
      <c r="C16" s="17" t="s">
        <v>475</v>
      </c>
      <c r="D16" s="34">
        <v>0</v>
      </c>
      <c r="E16" s="34">
        <v>0</v>
      </c>
      <c r="F16" s="34">
        <v>0</v>
      </c>
      <c r="G16" s="34">
        <v>0</v>
      </c>
      <c r="H16" s="34">
        <v>0</v>
      </c>
      <c r="I16" s="34">
        <v>0</v>
      </c>
      <c r="J16" s="34">
        <v>0</v>
      </c>
      <c r="K16" s="34">
        <v>0</v>
      </c>
      <c r="L16" s="34">
        <v>0</v>
      </c>
      <c r="M16" s="34">
        <v>0</v>
      </c>
      <c r="N16" s="34">
        <v>0</v>
      </c>
      <c r="O16" s="34">
        <v>0</v>
      </c>
      <c r="P16" s="34">
        <v>0</v>
      </c>
      <c r="Q16" s="34">
        <v>-0.5</v>
      </c>
      <c r="R16" s="34">
        <v>0</v>
      </c>
      <c r="S16" s="34"/>
      <c r="T16" s="34">
        <f>+SUM(P16:S16)</f>
        <v>-0.5</v>
      </c>
      <c r="U16" s="40">
        <v>0</v>
      </c>
      <c r="V16" s="40">
        <v>0</v>
      </c>
      <c r="W16" s="40">
        <v>0</v>
      </c>
      <c r="X16" s="40">
        <v>0</v>
      </c>
      <c r="Y16" s="131">
        <f>+SUM(U16:X16)</f>
        <v>0</v>
      </c>
      <c r="Z16" s="40">
        <v>0</v>
      </c>
      <c r="AA16" s="40">
        <v>0</v>
      </c>
      <c r="AB16" s="40">
        <v>0</v>
      </c>
      <c r="AC16" s="40">
        <v>0</v>
      </c>
      <c r="AD16" s="131">
        <f>+SUM(Z16:AC16)</f>
        <v>0</v>
      </c>
    </row>
    <row r="17" spans="3:36" x14ac:dyDescent="0.2">
      <c r="C17" s="32" t="s">
        <v>82</v>
      </c>
      <c r="D17" s="33">
        <f>+D10+SUM(D12:D16)</f>
        <v>9.4659849999999963</v>
      </c>
      <c r="E17" s="33">
        <f t="shared" ref="E17:AD17" si="1">+E10+SUM(E12:E16)</f>
        <v>3.8151129999999931</v>
      </c>
      <c r="F17" s="33">
        <f t="shared" si="1"/>
        <v>4.7317039999999997</v>
      </c>
      <c r="G17" s="33">
        <f t="shared" si="1"/>
        <v>9.8411840000000002</v>
      </c>
      <c r="H17" s="33">
        <f t="shared" si="1"/>
        <v>14.674225</v>
      </c>
      <c r="I17" s="33">
        <f t="shared" si="1"/>
        <v>17.299350999999998</v>
      </c>
      <c r="J17" s="33">
        <f t="shared" si="1"/>
        <v>46.546464000000014</v>
      </c>
      <c r="K17" s="33">
        <f t="shared" si="1"/>
        <v>12.700772000000002</v>
      </c>
      <c r="L17" s="33">
        <f t="shared" si="1"/>
        <v>13.639451999999999</v>
      </c>
      <c r="M17" s="33">
        <f t="shared" si="1"/>
        <v>8.3858479999999993</v>
      </c>
      <c r="N17" s="33">
        <f t="shared" si="1"/>
        <v>7.2913050000000013</v>
      </c>
      <c r="O17" s="33">
        <f t="shared" si="1"/>
        <v>42.017376999999982</v>
      </c>
      <c r="P17" s="33">
        <f t="shared" si="1"/>
        <v>2.1413290000000007</v>
      </c>
      <c r="Q17" s="33">
        <f t="shared" si="1"/>
        <v>0.1761809999999997</v>
      </c>
      <c r="R17" s="33">
        <f t="shared" si="1"/>
        <v>3.1245510000000012</v>
      </c>
      <c r="S17" s="33">
        <f t="shared" si="1"/>
        <v>6.6182030000000012</v>
      </c>
      <c r="T17" s="33">
        <f t="shared" si="1"/>
        <v>12.060263999999986</v>
      </c>
      <c r="U17" s="33">
        <f t="shared" si="1"/>
        <v>4.5474592125000033</v>
      </c>
      <c r="V17" s="33">
        <f t="shared" si="1"/>
        <v>5.5200825600000005</v>
      </c>
      <c r="W17" s="33">
        <f t="shared" si="1"/>
        <v>8.7158764799999968</v>
      </c>
      <c r="X17" s="33">
        <f t="shared" si="1"/>
        <v>10.065508515000003</v>
      </c>
      <c r="Y17" s="33">
        <f t="shared" si="1"/>
        <v>28.848926767500011</v>
      </c>
      <c r="Z17" s="33">
        <f t="shared" si="1"/>
        <v>4.0701177000000026</v>
      </c>
      <c r="AA17" s="33">
        <f t="shared" si="1"/>
        <v>9.4336618049999981</v>
      </c>
      <c r="AB17" s="33">
        <f t="shared" si="1"/>
        <v>15.183175994999994</v>
      </c>
      <c r="AC17" s="33">
        <f t="shared" si="1"/>
        <v>14.028949080000002</v>
      </c>
      <c r="AD17" s="33">
        <f t="shared" si="1"/>
        <v>42.715904579999993</v>
      </c>
    </row>
    <row r="18" spans="3:36" ht="5.0999999999999996" customHeight="1" x14ac:dyDescent="0.2">
      <c r="C18" s="18"/>
      <c r="D18" s="35"/>
      <c r="E18" s="35"/>
      <c r="F18" s="35"/>
      <c r="G18" s="35"/>
      <c r="H18" s="35"/>
      <c r="I18" s="35"/>
      <c r="J18" s="35"/>
      <c r="K18" s="35"/>
      <c r="L18" s="35"/>
      <c r="M18" s="35"/>
      <c r="N18" s="35"/>
      <c r="O18" s="35"/>
      <c r="P18" s="35"/>
      <c r="Q18" s="35"/>
      <c r="R18" s="35"/>
      <c r="S18" s="35"/>
      <c r="T18" s="35"/>
    </row>
    <row r="19" spans="3:36" s="19" customFormat="1" x14ac:dyDescent="0.2">
      <c r="C19" s="19" t="s">
        <v>83</v>
      </c>
      <c r="D19" s="36">
        <v>-6.4582509999999997</v>
      </c>
      <c r="E19" s="36">
        <v>-6.5562560000000003</v>
      </c>
      <c r="F19" s="36">
        <v>-1.6518699999999999</v>
      </c>
      <c r="G19" s="36">
        <v>-1.760605</v>
      </c>
      <c r="H19" s="36">
        <v>-1.9831080000000001</v>
      </c>
      <c r="I19" s="36">
        <v>-2.2610549999999998</v>
      </c>
      <c r="J19" s="36">
        <v>-7.6566380000000001</v>
      </c>
      <c r="K19" s="36">
        <v>-2.4582459999999999</v>
      </c>
      <c r="L19" s="36">
        <v>-2.867388</v>
      </c>
      <c r="M19" s="36">
        <v>-2.8572579999999999</v>
      </c>
      <c r="N19" s="36">
        <v>-2.5742850000000002</v>
      </c>
      <c r="O19" s="36">
        <v>-10.757176999999999</v>
      </c>
      <c r="P19" s="36">
        <v>-2.5344690000000001</v>
      </c>
      <c r="Q19" s="36">
        <v>-2.5768200000000001</v>
      </c>
      <c r="R19" s="36">
        <v>-2.6191710000000001</v>
      </c>
      <c r="S19" s="36">
        <v>-3.2361610000000001</v>
      </c>
      <c r="T19" s="36">
        <f t="shared" ref="T19:T28" si="2">+SUM(P19:S19)</f>
        <v>-10.966621</v>
      </c>
      <c r="U19" s="130">
        <f>+$S$19</f>
        <v>-3.2361610000000001</v>
      </c>
      <c r="V19" s="130">
        <f>+$S$19</f>
        <v>-3.2361610000000001</v>
      </c>
      <c r="W19" s="130">
        <f>+$S$19</f>
        <v>-3.2361610000000001</v>
      </c>
      <c r="X19" s="130">
        <f>+$S$19</f>
        <v>-3.2361610000000001</v>
      </c>
      <c r="Y19" s="131">
        <f t="shared" ref="Y19:Y28" si="3">+SUM(U19:X19)</f>
        <v>-12.944644</v>
      </c>
      <c r="Z19" s="130">
        <f>+$S$19</f>
        <v>-3.2361610000000001</v>
      </c>
      <c r="AA19" s="130">
        <f>+$S$19</f>
        <v>-3.2361610000000001</v>
      </c>
      <c r="AB19" s="130">
        <f>+$S$19</f>
        <v>-3.2361610000000001</v>
      </c>
      <c r="AC19" s="130">
        <f>+$S$19</f>
        <v>-3.2361610000000001</v>
      </c>
      <c r="AD19" s="131">
        <f t="shared" ref="AD19:AD28" si="4">+SUM(Z19:AC19)</f>
        <v>-12.944644</v>
      </c>
      <c r="AE19" s="22"/>
      <c r="AF19" s="22"/>
      <c r="AG19" s="22"/>
      <c r="AH19" s="22"/>
      <c r="AI19" s="23"/>
      <c r="AJ19" s="23"/>
    </row>
    <row r="20" spans="3:36" x14ac:dyDescent="0.2">
      <c r="C20" s="17" t="s">
        <v>477</v>
      </c>
      <c r="D20" s="34">
        <v>-3.5131049999999999</v>
      </c>
      <c r="E20" s="34">
        <v>-2.331998</v>
      </c>
      <c r="F20" s="34">
        <v>-0.59581700000000004</v>
      </c>
      <c r="G20" s="34">
        <v>-0.52535500000000002</v>
      </c>
      <c r="H20" s="34">
        <v>-0.55580099999999999</v>
      </c>
      <c r="I20" s="34">
        <v>-0.66205000000000003</v>
      </c>
      <c r="J20" s="34">
        <v>-2.3390230000000001</v>
      </c>
      <c r="K20" s="34">
        <v>-0.64831799999999995</v>
      </c>
      <c r="L20" s="34">
        <v>-0.75730399999999998</v>
      </c>
      <c r="M20" s="34">
        <v>-0.96591700000000003</v>
      </c>
      <c r="N20" s="34">
        <v>-1.4815069999999999</v>
      </c>
      <c r="O20" s="34">
        <v>-3.853046</v>
      </c>
      <c r="P20" s="34">
        <v>-1.4669190000000001</v>
      </c>
      <c r="Q20" s="34">
        <v>-1.3922890000000001</v>
      </c>
      <c r="R20" s="34">
        <v>-1.5890230000000001</v>
      </c>
      <c r="S20" s="34">
        <v>-2.0385840000000002</v>
      </c>
      <c r="T20" s="34">
        <f t="shared" si="2"/>
        <v>-6.486815</v>
      </c>
      <c r="U20" s="40">
        <f>-(U168*U164*COUNT(U149:U161)/1000000)</f>
        <v>-2.1188699999999998</v>
      </c>
      <c r="V20" s="40">
        <f>-(V168*V164*COUNT(V149:V161)/1000000)</f>
        <v>-2.1188699999999998</v>
      </c>
      <c r="W20" s="40">
        <f>-(W168*W164*COUNT(W149:W161)/1000000)</f>
        <v>-2.1188699999999998</v>
      </c>
      <c r="X20" s="40">
        <f>-(X168*X164*COUNT(X149:X161)/1000000)</f>
        <v>-2.1188699999999998</v>
      </c>
      <c r="Y20" s="131">
        <f t="shared" si="3"/>
        <v>-8.4754799999999992</v>
      </c>
      <c r="Z20" s="40">
        <f>-(Z168*Z164*COUNT(Z149:Z161)/1000000)</f>
        <v>-2.1188699999999998</v>
      </c>
      <c r="AA20" s="40">
        <f>-(AA168*AA164*COUNT(AA149:AA161)/1000000)</f>
        <v>-2.1188699999999998</v>
      </c>
      <c r="AB20" s="40">
        <f>-(AB168*AB164*COUNT(AB149:AB161)/1000000)</f>
        <v>-2.1188699999999998</v>
      </c>
      <c r="AC20" s="40">
        <f>-(AC168*AC164*COUNT(AC149:AC161)/1000000)</f>
        <v>-2.1188699999999998</v>
      </c>
      <c r="AD20" s="131">
        <f t="shared" si="4"/>
        <v>-8.4754799999999992</v>
      </c>
    </row>
    <row r="21" spans="3:36" x14ac:dyDescent="0.2">
      <c r="C21" s="17" t="s">
        <v>478</v>
      </c>
      <c r="D21" s="34">
        <v>0</v>
      </c>
      <c r="E21" s="34">
        <v>0</v>
      </c>
      <c r="F21" s="34">
        <v>0</v>
      </c>
      <c r="G21" s="34">
        <v>-1.647654</v>
      </c>
      <c r="H21" s="34">
        <v>0</v>
      </c>
      <c r="I21" s="34">
        <v>0</v>
      </c>
      <c r="J21" s="34">
        <v>-1.647654</v>
      </c>
      <c r="K21" s="34">
        <v>0</v>
      </c>
      <c r="L21" s="34">
        <v>0</v>
      </c>
      <c r="M21" s="34">
        <v>0</v>
      </c>
      <c r="N21" s="34">
        <v>0</v>
      </c>
      <c r="O21" s="34">
        <v>0</v>
      </c>
      <c r="P21" s="34">
        <v>0</v>
      </c>
      <c r="Q21" s="34">
        <v>0</v>
      </c>
      <c r="R21" s="34">
        <v>0</v>
      </c>
      <c r="S21" s="34">
        <v>0</v>
      </c>
      <c r="T21" s="34">
        <f t="shared" si="2"/>
        <v>0</v>
      </c>
      <c r="U21" s="40">
        <v>0</v>
      </c>
      <c r="V21" s="40">
        <v>0</v>
      </c>
      <c r="W21" s="40">
        <v>0</v>
      </c>
      <c r="X21" s="40">
        <v>0</v>
      </c>
      <c r="Y21" s="131">
        <f t="shared" si="3"/>
        <v>0</v>
      </c>
      <c r="Z21" s="40">
        <v>0</v>
      </c>
      <c r="AA21" s="40">
        <v>0</v>
      </c>
      <c r="AB21" s="40">
        <v>0</v>
      </c>
      <c r="AC21" s="40">
        <v>0</v>
      </c>
      <c r="AD21" s="131">
        <f t="shared" si="4"/>
        <v>0</v>
      </c>
    </row>
    <row r="22" spans="3:36" x14ac:dyDescent="0.2">
      <c r="C22" s="17" t="s">
        <v>479</v>
      </c>
      <c r="D22" s="34">
        <v>0.49681999999999998</v>
      </c>
      <c r="E22" s="34">
        <v>-0.79035900000000003</v>
      </c>
      <c r="F22" s="34">
        <v>-1.620344</v>
      </c>
      <c r="G22" s="34">
        <v>-3.694061</v>
      </c>
      <c r="H22" s="34">
        <v>-7.5584999999999999E-2</v>
      </c>
      <c r="I22" s="34">
        <v>1.624371</v>
      </c>
      <c r="J22" s="34">
        <v>-3.765619</v>
      </c>
      <c r="K22" s="34">
        <v>0.89566900000000005</v>
      </c>
      <c r="L22" s="34">
        <v>0.58013000000000003</v>
      </c>
      <c r="M22" s="34">
        <v>1.5738030000000001</v>
      </c>
      <c r="N22" s="34">
        <v>0.14000799999999999</v>
      </c>
      <c r="O22" s="34">
        <v>3.1896100000000001</v>
      </c>
      <c r="P22" s="34">
        <v>0.10097399999999999</v>
      </c>
      <c r="Q22" s="34">
        <v>2.4642759999999999</v>
      </c>
      <c r="R22" s="34">
        <v>0.188252</v>
      </c>
      <c r="S22" s="34">
        <v>-1.5351269999999999</v>
      </c>
      <c r="T22" s="34">
        <f t="shared" si="2"/>
        <v>1.2183749999999998</v>
      </c>
      <c r="U22" s="40">
        <v>0</v>
      </c>
      <c r="V22" s="40">
        <v>0</v>
      </c>
      <c r="W22" s="40">
        <v>0</v>
      </c>
      <c r="X22" s="40">
        <v>0</v>
      </c>
      <c r="Y22" s="131">
        <f t="shared" si="3"/>
        <v>0</v>
      </c>
      <c r="Z22" s="40">
        <v>0</v>
      </c>
      <c r="AA22" s="40">
        <v>0</v>
      </c>
      <c r="AB22" s="40">
        <v>0</v>
      </c>
      <c r="AC22" s="40">
        <v>0</v>
      </c>
      <c r="AD22" s="131">
        <f t="shared" si="4"/>
        <v>0</v>
      </c>
    </row>
    <row r="23" spans="3:36" x14ac:dyDescent="0.2">
      <c r="C23" s="17" t="s">
        <v>90</v>
      </c>
      <c r="D23" s="34">
        <v>2.2216E-2</v>
      </c>
      <c r="E23" s="34">
        <v>4.0940000000000004E-3</v>
      </c>
      <c r="F23" s="34">
        <v>-2.4719999999999998E-3</v>
      </c>
      <c r="G23" s="34">
        <v>-2.4399999999999999E-3</v>
      </c>
      <c r="H23" s="34">
        <v>4.2690000000000002E-3</v>
      </c>
      <c r="I23" s="34">
        <v>6.45E-3</v>
      </c>
      <c r="J23" s="34">
        <v>5.8070000000000005E-3</v>
      </c>
      <c r="K23" s="34">
        <v>4.8849999999999996E-3</v>
      </c>
      <c r="L23" s="34">
        <v>2.2491000000000001E-2</v>
      </c>
      <c r="M23" s="34">
        <v>2.4049999999999998E-2</v>
      </c>
      <c r="N23" s="34">
        <v>-8.3420000000000005E-3</v>
      </c>
      <c r="O23" s="34">
        <v>4.3083999999999997E-2</v>
      </c>
      <c r="P23" s="34">
        <v>-1.3464E-2</v>
      </c>
      <c r="Q23" s="34">
        <v>5.1510000000000002E-3</v>
      </c>
      <c r="R23" s="34">
        <v>1.248E-3</v>
      </c>
      <c r="S23" s="34">
        <v>1.271E-3</v>
      </c>
      <c r="T23" s="34">
        <f t="shared" si="2"/>
        <v>-5.7940000000000005E-3</v>
      </c>
      <c r="U23" s="40">
        <v>0</v>
      </c>
      <c r="V23" s="40">
        <v>0</v>
      </c>
      <c r="W23" s="40">
        <v>0</v>
      </c>
      <c r="X23" s="40">
        <v>0</v>
      </c>
      <c r="Y23" s="131">
        <f t="shared" si="3"/>
        <v>0</v>
      </c>
      <c r="Z23" s="40">
        <v>0</v>
      </c>
      <c r="AA23" s="40">
        <v>0</v>
      </c>
      <c r="AB23" s="40">
        <v>0</v>
      </c>
      <c r="AC23" s="40">
        <v>0</v>
      </c>
      <c r="AD23" s="131">
        <f t="shared" si="4"/>
        <v>0</v>
      </c>
    </row>
    <row r="24" spans="3:36" x14ac:dyDescent="0.2">
      <c r="C24" s="17" t="s">
        <v>85</v>
      </c>
      <c r="D24" s="34">
        <v>2.8319999999999999E-3</v>
      </c>
      <c r="E24" s="34">
        <v>-1.8454999999999999E-2</v>
      </c>
      <c r="F24" s="34">
        <v>3.3249999999999998E-3</v>
      </c>
      <c r="G24" s="34">
        <v>7.084E-3</v>
      </c>
      <c r="H24" s="34">
        <v>5.3999999999999998E-5</v>
      </c>
      <c r="I24" s="34">
        <v>2.0999999999999999E-5</v>
      </c>
      <c r="J24" s="34">
        <v>1.0484E-2</v>
      </c>
      <c r="K24" s="34">
        <v>1.7100000000000001E-4</v>
      </c>
      <c r="L24" s="34">
        <v>2.14E-4</v>
      </c>
      <c r="M24" s="34">
        <v>1.2310000000000001E-3</v>
      </c>
      <c r="N24" s="34">
        <v>4.4681999999999999E-2</v>
      </c>
      <c r="O24" s="34">
        <v>4.6297999999999999E-2</v>
      </c>
      <c r="P24" s="34">
        <v>0.232209</v>
      </c>
      <c r="Q24" s="34">
        <v>0.139269</v>
      </c>
      <c r="R24" s="34">
        <v>0.36210599999999998</v>
      </c>
      <c r="S24" s="34">
        <v>0.16403599999999999</v>
      </c>
      <c r="T24" s="34">
        <f t="shared" si="2"/>
        <v>0.89761999999999997</v>
      </c>
      <c r="U24" s="40">
        <v>0</v>
      </c>
      <c r="V24" s="40">
        <v>0</v>
      </c>
      <c r="W24" s="40">
        <v>0</v>
      </c>
      <c r="X24" s="40">
        <v>0</v>
      </c>
      <c r="Y24" s="131">
        <f t="shared" si="3"/>
        <v>0</v>
      </c>
      <c r="Z24" s="40">
        <v>0</v>
      </c>
      <c r="AA24" s="40">
        <v>0</v>
      </c>
      <c r="AB24" s="40">
        <v>0</v>
      </c>
      <c r="AC24" s="40">
        <v>0</v>
      </c>
      <c r="AD24" s="131">
        <f t="shared" si="4"/>
        <v>0</v>
      </c>
    </row>
    <row r="25" spans="3:36" x14ac:dyDescent="0.2">
      <c r="C25" s="17" t="s">
        <v>480</v>
      </c>
      <c r="D25" s="34">
        <v>-1.7489809999999999</v>
      </c>
      <c r="E25" s="34">
        <v>-1.573874</v>
      </c>
      <c r="F25" s="34">
        <v>-0.29957</v>
      </c>
      <c r="G25" s="34">
        <v>-0.27135500000000001</v>
      </c>
      <c r="H25" s="34">
        <v>-0.274337</v>
      </c>
      <c r="I25" s="34">
        <v>-0.24063999999999999</v>
      </c>
      <c r="J25" s="34">
        <v>-1.0859019999999999</v>
      </c>
      <c r="K25" s="34">
        <v>0</v>
      </c>
      <c r="L25" s="34">
        <v>0</v>
      </c>
      <c r="M25" s="34">
        <v>0</v>
      </c>
      <c r="N25" s="34">
        <v>0</v>
      </c>
      <c r="O25" s="34">
        <v>0</v>
      </c>
      <c r="P25" s="34">
        <v>0</v>
      </c>
      <c r="Q25" s="34">
        <v>0</v>
      </c>
      <c r="R25" s="34">
        <v>0</v>
      </c>
      <c r="S25" s="34">
        <v>0</v>
      </c>
      <c r="T25" s="34">
        <f t="shared" si="2"/>
        <v>0</v>
      </c>
      <c r="U25" s="40">
        <v>0</v>
      </c>
      <c r="V25" s="40">
        <v>0</v>
      </c>
      <c r="W25" s="40">
        <v>0</v>
      </c>
      <c r="X25" s="40">
        <v>0</v>
      </c>
      <c r="Y25" s="131">
        <f t="shared" si="3"/>
        <v>0</v>
      </c>
      <c r="Z25" s="40">
        <v>0</v>
      </c>
      <c r="AA25" s="40">
        <v>0</v>
      </c>
      <c r="AB25" s="40">
        <v>0</v>
      </c>
      <c r="AC25" s="40">
        <v>0</v>
      </c>
      <c r="AD25" s="131">
        <f t="shared" si="4"/>
        <v>0</v>
      </c>
    </row>
    <row r="26" spans="3:36" x14ac:dyDescent="0.2">
      <c r="C26" s="17" t="s">
        <v>481</v>
      </c>
      <c r="D26" s="34">
        <v>-0.185665</v>
      </c>
      <c r="E26" s="34">
        <v>0</v>
      </c>
      <c r="F26" s="34">
        <v>-0.12</v>
      </c>
      <c r="G26" s="34">
        <v>0</v>
      </c>
      <c r="H26" s="34">
        <v>0</v>
      </c>
      <c r="I26" s="34">
        <v>-0.54528699999999997</v>
      </c>
      <c r="J26" s="34">
        <v>-0.66528699999999996</v>
      </c>
      <c r="K26" s="34">
        <v>0</v>
      </c>
      <c r="L26" s="34">
        <v>0</v>
      </c>
      <c r="M26" s="34">
        <v>0</v>
      </c>
      <c r="N26" s="34">
        <v>0</v>
      </c>
      <c r="O26" s="34">
        <v>0</v>
      </c>
      <c r="P26" s="34">
        <v>0</v>
      </c>
      <c r="Q26" s="34">
        <v>0</v>
      </c>
      <c r="R26" s="34">
        <v>0</v>
      </c>
      <c r="S26" s="34">
        <v>0</v>
      </c>
      <c r="T26" s="34">
        <f t="shared" si="2"/>
        <v>0</v>
      </c>
      <c r="U26" s="40">
        <v>0</v>
      </c>
      <c r="V26" s="40">
        <v>0</v>
      </c>
      <c r="W26" s="40">
        <v>0</v>
      </c>
      <c r="X26" s="40">
        <v>0</v>
      </c>
      <c r="Y26" s="131">
        <f t="shared" si="3"/>
        <v>0</v>
      </c>
      <c r="Z26" s="40">
        <v>0</v>
      </c>
      <c r="AA26" s="40">
        <v>0</v>
      </c>
      <c r="AB26" s="40">
        <v>0</v>
      </c>
      <c r="AC26" s="40">
        <v>0</v>
      </c>
      <c r="AD26" s="131">
        <f t="shared" si="4"/>
        <v>0</v>
      </c>
    </row>
    <row r="27" spans="3:36" x14ac:dyDescent="0.2">
      <c r="C27" s="17" t="s">
        <v>482</v>
      </c>
      <c r="D27" s="34">
        <v>0</v>
      </c>
      <c r="E27" s="34">
        <v>0</v>
      </c>
      <c r="F27" s="34">
        <v>0</v>
      </c>
      <c r="G27" s="34">
        <v>0</v>
      </c>
      <c r="H27" s="34">
        <v>0</v>
      </c>
      <c r="I27" s="34">
        <v>0</v>
      </c>
      <c r="J27" s="34">
        <v>0</v>
      </c>
      <c r="K27" s="34">
        <v>0</v>
      </c>
      <c r="L27" s="34">
        <v>0</v>
      </c>
      <c r="M27" s="34">
        <v>0</v>
      </c>
      <c r="N27" s="34">
        <v>2.856525</v>
      </c>
      <c r="O27" s="34">
        <v>2.856525</v>
      </c>
      <c r="P27" s="34">
        <v>0</v>
      </c>
      <c r="Q27" s="34">
        <v>0</v>
      </c>
      <c r="R27" s="34">
        <v>0</v>
      </c>
      <c r="S27" s="34">
        <v>0</v>
      </c>
      <c r="T27" s="34">
        <f t="shared" si="2"/>
        <v>0</v>
      </c>
      <c r="U27" s="40">
        <v>0</v>
      </c>
      <c r="V27" s="40">
        <v>0</v>
      </c>
      <c r="W27" s="40">
        <v>0</v>
      </c>
      <c r="X27" s="40">
        <v>0</v>
      </c>
      <c r="Y27" s="131">
        <f t="shared" si="3"/>
        <v>0</v>
      </c>
      <c r="Z27" s="40">
        <v>0</v>
      </c>
      <c r="AA27" s="40">
        <v>0</v>
      </c>
      <c r="AB27" s="40">
        <v>0</v>
      </c>
      <c r="AC27" s="40">
        <v>0</v>
      </c>
      <c r="AD27" s="131">
        <f t="shared" si="4"/>
        <v>0</v>
      </c>
    </row>
    <row r="28" spans="3:36" x14ac:dyDescent="0.2">
      <c r="C28" s="17" t="s">
        <v>700</v>
      </c>
      <c r="D28" s="34">
        <v>0</v>
      </c>
      <c r="E28" s="34">
        <v>0</v>
      </c>
      <c r="F28" s="34">
        <v>0</v>
      </c>
      <c r="G28" s="34">
        <v>0</v>
      </c>
      <c r="H28" s="34">
        <v>0</v>
      </c>
      <c r="I28" s="34">
        <v>0</v>
      </c>
      <c r="J28" s="34">
        <v>0</v>
      </c>
      <c r="K28" s="34">
        <v>0</v>
      </c>
      <c r="L28" s="34">
        <v>0</v>
      </c>
      <c r="M28" s="34">
        <v>0</v>
      </c>
      <c r="N28" s="34">
        <v>0</v>
      </c>
      <c r="O28" s="34">
        <v>0</v>
      </c>
      <c r="P28" s="34">
        <v>0</v>
      </c>
      <c r="Q28" s="34">
        <v>0</v>
      </c>
      <c r="R28" s="34">
        <v>0</v>
      </c>
      <c r="S28" s="34">
        <v>0.37406800000000001</v>
      </c>
      <c r="T28" s="34">
        <f t="shared" si="2"/>
        <v>0.37406800000000001</v>
      </c>
      <c r="U28" s="40">
        <v>0</v>
      </c>
      <c r="V28" s="40">
        <v>0</v>
      </c>
      <c r="W28" s="40">
        <v>0</v>
      </c>
      <c r="X28" s="40">
        <v>0</v>
      </c>
      <c r="Y28" s="131">
        <f t="shared" si="3"/>
        <v>0</v>
      </c>
      <c r="Z28" s="40">
        <v>0</v>
      </c>
      <c r="AA28" s="40">
        <v>0</v>
      </c>
      <c r="AB28" s="40">
        <v>0</v>
      </c>
      <c r="AC28" s="40">
        <v>0</v>
      </c>
      <c r="AD28" s="131">
        <f t="shared" si="4"/>
        <v>0</v>
      </c>
    </row>
    <row r="29" spans="3:36" x14ac:dyDescent="0.2">
      <c r="C29" s="32" t="s">
        <v>92</v>
      </c>
      <c r="D29" s="33">
        <f>+SUM(D17,D19:D28)</f>
        <v>-1.9181490000000032</v>
      </c>
      <c r="E29" s="33">
        <f t="shared" ref="E29:AD29" si="5">+SUM(E17,E19:E28)</f>
        <v>-7.4517350000000073</v>
      </c>
      <c r="F29" s="33">
        <f t="shared" si="5"/>
        <v>0.44495599999999969</v>
      </c>
      <c r="G29" s="33">
        <f t="shared" si="5"/>
        <v>1.9467979999999996</v>
      </c>
      <c r="H29" s="33">
        <f t="shared" si="5"/>
        <v>11.789717000000001</v>
      </c>
      <c r="I29" s="33">
        <f t="shared" si="5"/>
        <v>15.221160999999999</v>
      </c>
      <c r="J29" s="33">
        <f t="shared" si="5"/>
        <v>29.402632000000015</v>
      </c>
      <c r="K29" s="33">
        <f t="shared" si="5"/>
        <v>10.494933000000001</v>
      </c>
      <c r="L29" s="33">
        <f t="shared" si="5"/>
        <v>10.617595</v>
      </c>
      <c r="M29" s="33">
        <f t="shared" si="5"/>
        <v>6.1617569999999988</v>
      </c>
      <c r="N29" s="33">
        <f t="shared" si="5"/>
        <v>6.2683860000000013</v>
      </c>
      <c r="O29" s="33">
        <f t="shared" si="5"/>
        <v>33.542670999999984</v>
      </c>
      <c r="P29" s="33">
        <f t="shared" si="5"/>
        <v>-1.5403399999999996</v>
      </c>
      <c r="Q29" s="33">
        <f t="shared" si="5"/>
        <v>-1.1842320000000008</v>
      </c>
      <c r="R29" s="33">
        <f t="shared" si="5"/>
        <v>-0.53203699999999898</v>
      </c>
      <c r="S29" s="33">
        <f t="shared" si="5"/>
        <v>0.34770600000000101</v>
      </c>
      <c r="T29" s="33">
        <f t="shared" si="5"/>
        <v>-2.9089030000000142</v>
      </c>
      <c r="U29" s="33">
        <f t="shared" si="5"/>
        <v>-0.80757178749999659</v>
      </c>
      <c r="V29" s="33">
        <f t="shared" si="5"/>
        <v>0.16505156000000065</v>
      </c>
      <c r="W29" s="33">
        <f t="shared" si="5"/>
        <v>3.3608454799999969</v>
      </c>
      <c r="X29" s="33">
        <f t="shared" si="5"/>
        <v>4.7104775150000027</v>
      </c>
      <c r="Y29" s="33">
        <f t="shared" si="5"/>
        <v>7.4288027675000112</v>
      </c>
      <c r="Z29" s="33">
        <f t="shared" si="5"/>
        <v>-1.2849132999999973</v>
      </c>
      <c r="AA29" s="33">
        <f t="shared" si="5"/>
        <v>4.0786308049999977</v>
      </c>
      <c r="AB29" s="33">
        <f t="shared" si="5"/>
        <v>9.8281449949999935</v>
      </c>
      <c r="AC29" s="33">
        <f t="shared" si="5"/>
        <v>8.6739180800000018</v>
      </c>
      <c r="AD29" s="33">
        <f t="shared" si="5"/>
        <v>21.295780579999992</v>
      </c>
    </row>
    <row r="30" spans="3:36" ht="5.0999999999999996" customHeight="1" x14ac:dyDescent="0.2">
      <c r="D30" s="37"/>
      <c r="E30" s="37"/>
      <c r="F30" s="37"/>
      <c r="G30" s="37"/>
      <c r="H30" s="37"/>
      <c r="I30" s="37"/>
      <c r="J30" s="37"/>
      <c r="K30" s="37"/>
      <c r="L30" s="37"/>
      <c r="M30" s="37"/>
      <c r="N30" s="37"/>
      <c r="O30" s="37"/>
      <c r="P30" s="37"/>
      <c r="Q30" s="37"/>
      <c r="R30" s="37"/>
    </row>
    <row r="31" spans="3:36" ht="12.75" customHeight="1" x14ac:dyDescent="0.2">
      <c r="C31" s="17" t="s">
        <v>702</v>
      </c>
      <c r="D31" s="36">
        <f>-D28</f>
        <v>0</v>
      </c>
      <c r="E31" s="36">
        <f t="shared" ref="E31:S31" si="6">-E28</f>
        <v>0</v>
      </c>
      <c r="F31" s="36">
        <f t="shared" si="6"/>
        <v>0</v>
      </c>
      <c r="G31" s="36">
        <f t="shared" si="6"/>
        <v>0</v>
      </c>
      <c r="H31" s="36">
        <f t="shared" si="6"/>
        <v>0</v>
      </c>
      <c r="I31" s="36">
        <f t="shared" si="6"/>
        <v>0</v>
      </c>
      <c r="J31" s="36">
        <f t="shared" si="6"/>
        <v>0</v>
      </c>
      <c r="K31" s="36">
        <f t="shared" si="6"/>
        <v>0</v>
      </c>
      <c r="L31" s="36">
        <f t="shared" si="6"/>
        <v>0</v>
      </c>
      <c r="M31" s="36">
        <f t="shared" si="6"/>
        <v>0</v>
      </c>
      <c r="N31" s="36">
        <f t="shared" si="6"/>
        <v>0</v>
      </c>
      <c r="O31" s="36">
        <f t="shared" si="6"/>
        <v>0</v>
      </c>
      <c r="P31" s="36">
        <f t="shared" si="6"/>
        <v>0</v>
      </c>
      <c r="Q31" s="36">
        <f t="shared" si="6"/>
        <v>0</v>
      </c>
      <c r="R31" s="36">
        <f t="shared" si="6"/>
        <v>0</v>
      </c>
      <c r="S31" s="36">
        <f t="shared" si="6"/>
        <v>-0.37406800000000001</v>
      </c>
      <c r="T31" s="36">
        <f>+SUM(P31:S31)</f>
        <v>-0.37406800000000001</v>
      </c>
      <c r="U31" s="40">
        <f>-U28</f>
        <v>0</v>
      </c>
      <c r="V31" s="40">
        <f>-V28</f>
        <v>0</v>
      </c>
      <c r="W31" s="40">
        <f>-W28</f>
        <v>0</v>
      </c>
      <c r="X31" s="40">
        <f>-X28</f>
        <v>0</v>
      </c>
      <c r="Y31" s="131">
        <f>SUM(U31:X31)</f>
        <v>0</v>
      </c>
      <c r="Z31" s="40">
        <f>-Z28</f>
        <v>0</v>
      </c>
      <c r="AA31" s="40">
        <f>-AA28</f>
        <v>0</v>
      </c>
      <c r="AB31" s="40">
        <f>-AB28</f>
        <v>0</v>
      </c>
      <c r="AC31" s="40">
        <f>-AC28</f>
        <v>0</v>
      </c>
      <c r="AD31" s="131">
        <f>SUM(Z31:AC31)</f>
        <v>0</v>
      </c>
    </row>
    <row r="32" spans="3:36" x14ac:dyDescent="0.2">
      <c r="C32" s="17" t="s">
        <v>83</v>
      </c>
      <c r="D32" s="36">
        <v>6.4582509999999997</v>
      </c>
      <c r="E32" s="36">
        <v>6.5562560000000003</v>
      </c>
      <c r="F32" s="36">
        <v>1.6518699999999999</v>
      </c>
      <c r="G32" s="36">
        <v>1.760605</v>
      </c>
      <c r="H32" s="36">
        <v>1.9831080000000001</v>
      </c>
      <c r="I32" s="36">
        <v>2.2610549999999998</v>
      </c>
      <c r="J32" s="36">
        <v>7.6566380000000001</v>
      </c>
      <c r="K32" s="36">
        <v>2.4582459999999999</v>
      </c>
      <c r="L32" s="36">
        <v>2.867388</v>
      </c>
      <c r="M32" s="36">
        <v>2.8572580000000007</v>
      </c>
      <c r="N32" s="36">
        <v>2.5742849999999997</v>
      </c>
      <c r="O32" s="36">
        <v>10.757177</v>
      </c>
      <c r="P32" s="36">
        <v>2.5344690000000001</v>
      </c>
      <c r="Q32" s="36">
        <v>2.5768200000000001</v>
      </c>
      <c r="R32" s="36">
        <v>2.6191709999999992</v>
      </c>
      <c r="S32" s="36">
        <f>+T32-R32-Q32-P32</f>
        <v>3.2361610000000005</v>
      </c>
      <c r="T32" s="36">
        <v>10.966621</v>
      </c>
      <c r="U32" s="40">
        <f>-U19</f>
        <v>3.2361610000000001</v>
      </c>
      <c r="V32" s="40">
        <f>-V19</f>
        <v>3.2361610000000001</v>
      </c>
      <c r="W32" s="40">
        <f>-W19</f>
        <v>3.2361610000000001</v>
      </c>
      <c r="X32" s="40">
        <f>-X19</f>
        <v>3.2361610000000001</v>
      </c>
      <c r="Y32" s="131">
        <f>SUM(U32:X32)</f>
        <v>12.944644</v>
      </c>
      <c r="Z32" s="40">
        <f>-Z19</f>
        <v>3.2361610000000001</v>
      </c>
      <c r="AA32" s="40">
        <f>-AA19</f>
        <v>3.2361610000000001</v>
      </c>
      <c r="AB32" s="40">
        <f>-AB19</f>
        <v>3.2361610000000001</v>
      </c>
      <c r="AC32" s="40">
        <f>-AC19</f>
        <v>3.2361610000000001</v>
      </c>
      <c r="AD32" s="131">
        <f>SUM(Z32:AC32)</f>
        <v>12.944644</v>
      </c>
    </row>
    <row r="33" spans="3:30" ht="12.95" customHeight="1" x14ac:dyDescent="0.2">
      <c r="C33" s="17" t="s">
        <v>483</v>
      </c>
      <c r="D33" s="36">
        <v>0.15287899999999999</v>
      </c>
      <c r="E33" s="36">
        <v>0.140704</v>
      </c>
      <c r="F33" s="36">
        <v>0.16925100000000001</v>
      </c>
      <c r="G33" s="36">
        <v>3.1821999999999989E-2</v>
      </c>
      <c r="H33" s="36">
        <v>4.9692999999999987E-2</v>
      </c>
      <c r="I33" s="36">
        <v>4.7561999999999993E-2</v>
      </c>
      <c r="J33" s="36">
        <v>0.29832799999999998</v>
      </c>
      <c r="K33" s="36">
        <v>4.7567999999999999E-2</v>
      </c>
      <c r="L33" s="36">
        <v>4.7569E-2</v>
      </c>
      <c r="M33" s="36">
        <v>4.7567999999999999E-2</v>
      </c>
      <c r="N33" s="36">
        <v>8.788399999999999E-2</v>
      </c>
      <c r="O33" s="36">
        <v>0.23058899999999999</v>
      </c>
      <c r="P33" s="36">
        <v>5.2838000000000003E-2</v>
      </c>
      <c r="Q33" s="36">
        <v>4.3019999999999996E-2</v>
      </c>
      <c r="R33" s="36">
        <v>5.089599999999999E-2</v>
      </c>
      <c r="S33" s="36">
        <f t="shared" ref="S33:S40" si="7">+T33-R33-Q33-P33</f>
        <v>6.2355999999999988E-2</v>
      </c>
      <c r="T33" s="36">
        <v>0.20910999999999999</v>
      </c>
      <c r="U33" s="40">
        <v>0</v>
      </c>
      <c r="V33" s="40">
        <v>0</v>
      </c>
      <c r="W33" s="40">
        <v>0</v>
      </c>
      <c r="X33" s="40">
        <v>0</v>
      </c>
      <c r="Y33" s="131">
        <f t="shared" ref="Y33:Y40" si="8">SUM(U33:X33)</f>
        <v>0</v>
      </c>
      <c r="Z33" s="40">
        <v>0</v>
      </c>
      <c r="AA33" s="40">
        <v>0</v>
      </c>
      <c r="AB33" s="40">
        <v>0</v>
      </c>
      <c r="AC33" s="40">
        <v>0</v>
      </c>
      <c r="AD33" s="131">
        <f t="shared" ref="AD33:AD40" si="9">SUM(Z33:AC33)</f>
        <v>0</v>
      </c>
    </row>
    <row r="34" spans="3:30" x14ac:dyDescent="0.2">
      <c r="C34" s="17" t="s">
        <v>484</v>
      </c>
      <c r="D34" s="36">
        <v>0.18479899999999999</v>
      </c>
      <c r="E34" s="36">
        <v>0.245922</v>
      </c>
      <c r="F34" s="36">
        <v>5.3688E-2</v>
      </c>
      <c r="G34" s="36">
        <v>5.4283999999999999E-2</v>
      </c>
      <c r="H34" s="36">
        <v>2.4664000000000005E-2</v>
      </c>
      <c r="I34" s="36">
        <v>9.8007999999999998E-2</v>
      </c>
      <c r="J34" s="36">
        <v>0.23064400000000002</v>
      </c>
      <c r="K34" s="36">
        <v>0.18168000000000001</v>
      </c>
      <c r="L34" s="36">
        <v>0.183699</v>
      </c>
      <c r="M34" s="36">
        <v>0.18571700000000002</v>
      </c>
      <c r="N34" s="36">
        <v>0.23762899999999998</v>
      </c>
      <c r="O34" s="36">
        <v>0.78872500000000001</v>
      </c>
      <c r="P34" s="36">
        <v>0.25689699999999999</v>
      </c>
      <c r="Q34" s="36">
        <v>0.25975200000000004</v>
      </c>
      <c r="R34" s="36">
        <v>0.10297499999999993</v>
      </c>
      <c r="S34" s="36">
        <f t="shared" si="7"/>
        <v>0.17836000000000007</v>
      </c>
      <c r="T34" s="36">
        <v>0.79798400000000003</v>
      </c>
      <c r="U34" s="40">
        <v>0</v>
      </c>
      <c r="V34" s="40">
        <v>0</v>
      </c>
      <c r="W34" s="40">
        <v>0</v>
      </c>
      <c r="X34" s="40">
        <v>0</v>
      </c>
      <c r="Y34" s="131">
        <f t="shared" si="8"/>
        <v>0</v>
      </c>
      <c r="Z34" s="40">
        <v>0</v>
      </c>
      <c r="AA34" s="40">
        <v>0</v>
      </c>
      <c r="AB34" s="40">
        <v>0</v>
      </c>
      <c r="AC34" s="40">
        <v>0</v>
      </c>
      <c r="AD34" s="131">
        <f t="shared" si="9"/>
        <v>0</v>
      </c>
    </row>
    <row r="35" spans="3:30" x14ac:dyDescent="0.2">
      <c r="C35" s="17" t="s">
        <v>485</v>
      </c>
      <c r="D35" s="36">
        <v>0</v>
      </c>
      <c r="E35" s="36">
        <v>0</v>
      </c>
      <c r="F35" s="36">
        <v>0</v>
      </c>
      <c r="G35" s="36">
        <v>0</v>
      </c>
      <c r="H35" s="36">
        <v>0</v>
      </c>
      <c r="I35" s="36">
        <v>0</v>
      </c>
      <c r="J35" s="36">
        <v>0</v>
      </c>
      <c r="K35" s="36">
        <v>0</v>
      </c>
      <c r="L35" s="36">
        <v>0</v>
      </c>
      <c r="M35" s="36">
        <v>0</v>
      </c>
      <c r="N35" s="36">
        <v>0</v>
      </c>
      <c r="O35" s="36">
        <v>0</v>
      </c>
      <c r="P35" s="36">
        <v>0</v>
      </c>
      <c r="Q35" s="36">
        <v>0</v>
      </c>
      <c r="R35" s="36">
        <v>0</v>
      </c>
      <c r="S35" s="36">
        <f t="shared" si="7"/>
        <v>0</v>
      </c>
      <c r="T35" s="36">
        <v>0</v>
      </c>
      <c r="U35" s="40">
        <v>0</v>
      </c>
      <c r="V35" s="40">
        <v>0</v>
      </c>
      <c r="W35" s="40">
        <v>0</v>
      </c>
      <c r="X35" s="40">
        <v>0</v>
      </c>
      <c r="Y35" s="131">
        <f t="shared" si="8"/>
        <v>0</v>
      </c>
      <c r="Z35" s="40">
        <v>0</v>
      </c>
      <c r="AA35" s="40">
        <v>0</v>
      </c>
      <c r="AB35" s="40">
        <v>0</v>
      </c>
      <c r="AC35" s="40">
        <v>0</v>
      </c>
      <c r="AD35" s="131">
        <f t="shared" si="9"/>
        <v>0</v>
      </c>
    </row>
    <row r="36" spans="3:30" x14ac:dyDescent="0.2">
      <c r="C36" s="17" t="s">
        <v>486</v>
      </c>
      <c r="D36" s="36">
        <v>0.35920400000000002</v>
      </c>
      <c r="E36" s="36">
        <v>0.54585899999999998</v>
      </c>
      <c r="F36" s="36">
        <v>0.821801</v>
      </c>
      <c r="G36" s="36">
        <v>3.0268509999999997</v>
      </c>
      <c r="H36" s="36">
        <v>-1.6592609999999997</v>
      </c>
      <c r="I36" s="36">
        <v>-2.9601059999999997</v>
      </c>
      <c r="J36" s="36">
        <v>-0.77071500000000004</v>
      </c>
      <c r="K36" s="36">
        <v>-0.99818899999999999</v>
      </c>
      <c r="L36" s="36">
        <v>-0.67095900000000008</v>
      </c>
      <c r="M36" s="36">
        <v>-0.49537699999999973</v>
      </c>
      <c r="N36" s="36">
        <v>-5.8159999999999989E-2</v>
      </c>
      <c r="O36" s="36">
        <v>-2.2226849999999998</v>
      </c>
      <c r="P36" s="36">
        <v>1.9453039999999999</v>
      </c>
      <c r="Q36" s="36">
        <v>-0.13802899999999996</v>
      </c>
      <c r="R36" s="36">
        <v>-0.14286599999999994</v>
      </c>
      <c r="S36" s="36">
        <f t="shared" si="7"/>
        <v>1.5878209999999997</v>
      </c>
      <c r="T36" s="36">
        <v>3.25223</v>
      </c>
      <c r="U36" s="40">
        <v>0</v>
      </c>
      <c r="V36" s="40">
        <v>0</v>
      </c>
      <c r="W36" s="40">
        <v>0</v>
      </c>
      <c r="X36" s="40">
        <v>0</v>
      </c>
      <c r="Y36" s="131">
        <f t="shared" si="8"/>
        <v>0</v>
      </c>
      <c r="Z36" s="40">
        <v>0</v>
      </c>
      <c r="AA36" s="40">
        <v>0</v>
      </c>
      <c r="AB36" s="40">
        <v>0</v>
      </c>
      <c r="AC36" s="40">
        <v>0</v>
      </c>
      <c r="AD36" s="131">
        <f t="shared" si="9"/>
        <v>0</v>
      </c>
    </row>
    <row r="37" spans="3:30" x14ac:dyDescent="0.2">
      <c r="C37" s="17" t="s">
        <v>487</v>
      </c>
      <c r="D37" s="36">
        <v>0</v>
      </c>
      <c r="E37" s="36">
        <v>0</v>
      </c>
      <c r="F37" s="36"/>
      <c r="G37" s="36"/>
      <c r="H37" s="36"/>
      <c r="I37" s="36"/>
      <c r="J37" s="36">
        <v>0</v>
      </c>
      <c r="K37" s="36">
        <v>0</v>
      </c>
      <c r="L37" s="36">
        <v>0</v>
      </c>
      <c r="M37" s="36">
        <v>0</v>
      </c>
      <c r="N37" s="36">
        <v>0</v>
      </c>
      <c r="O37" s="36">
        <v>0</v>
      </c>
      <c r="P37" s="36">
        <v>0</v>
      </c>
      <c r="Q37" s="36">
        <v>0.134294</v>
      </c>
      <c r="R37" s="36">
        <v>0</v>
      </c>
      <c r="S37" s="36">
        <f t="shared" si="7"/>
        <v>0</v>
      </c>
      <c r="T37" s="36">
        <v>0.134294</v>
      </c>
      <c r="U37" s="40">
        <v>0</v>
      </c>
      <c r="V37" s="40">
        <v>0</v>
      </c>
      <c r="W37" s="40">
        <v>0</v>
      </c>
      <c r="X37" s="40">
        <v>0</v>
      </c>
      <c r="Y37" s="131">
        <f t="shared" si="8"/>
        <v>0</v>
      </c>
      <c r="Z37" s="40">
        <v>0</v>
      </c>
      <c r="AA37" s="40">
        <v>0</v>
      </c>
      <c r="AB37" s="40">
        <v>0</v>
      </c>
      <c r="AC37" s="40">
        <v>0</v>
      </c>
      <c r="AD37" s="131">
        <f t="shared" si="9"/>
        <v>0</v>
      </c>
    </row>
    <row r="38" spans="3:30" x14ac:dyDescent="0.2">
      <c r="C38" s="17" t="s">
        <v>488</v>
      </c>
      <c r="D38" s="36">
        <v>0</v>
      </c>
      <c r="E38" s="36">
        <v>0</v>
      </c>
      <c r="F38" s="36">
        <v>0</v>
      </c>
      <c r="G38" s="36">
        <v>1.647654</v>
      </c>
      <c r="H38" s="36">
        <v>0</v>
      </c>
      <c r="I38" s="36">
        <v>0</v>
      </c>
      <c r="J38" s="36">
        <v>1.647654</v>
      </c>
      <c r="K38" s="36">
        <v>0</v>
      </c>
      <c r="L38" s="36">
        <v>0</v>
      </c>
      <c r="M38" s="36">
        <v>0</v>
      </c>
      <c r="N38" s="36">
        <v>0</v>
      </c>
      <c r="O38" s="36">
        <v>0</v>
      </c>
      <c r="P38" s="36">
        <v>0</v>
      </c>
      <c r="Q38" s="36">
        <v>0</v>
      </c>
      <c r="R38" s="36">
        <v>0</v>
      </c>
      <c r="S38" s="36">
        <f t="shared" si="7"/>
        <v>0</v>
      </c>
      <c r="T38" s="36">
        <v>0</v>
      </c>
      <c r="U38" s="40">
        <v>0</v>
      </c>
      <c r="V38" s="40">
        <v>0</v>
      </c>
      <c r="W38" s="40">
        <v>0</v>
      </c>
      <c r="X38" s="40">
        <v>0</v>
      </c>
      <c r="Y38" s="131">
        <f t="shared" si="8"/>
        <v>0</v>
      </c>
      <c r="Z38" s="40">
        <v>0</v>
      </c>
      <c r="AA38" s="40">
        <v>0</v>
      </c>
      <c r="AB38" s="40">
        <v>0</v>
      </c>
      <c r="AC38" s="40">
        <v>0</v>
      </c>
      <c r="AD38" s="131">
        <f t="shared" si="9"/>
        <v>0</v>
      </c>
    </row>
    <row r="39" spans="3:30" x14ac:dyDescent="0.2">
      <c r="C39" s="17" t="s">
        <v>489</v>
      </c>
      <c r="D39" s="36">
        <v>0</v>
      </c>
      <c r="E39" s="36">
        <v>0</v>
      </c>
      <c r="F39" s="36"/>
      <c r="G39" s="36"/>
      <c r="H39" s="36"/>
      <c r="I39" s="36"/>
      <c r="J39" s="36">
        <v>0</v>
      </c>
      <c r="K39" s="36">
        <v>0</v>
      </c>
      <c r="L39" s="36">
        <v>0</v>
      </c>
      <c r="M39" s="36">
        <v>0</v>
      </c>
      <c r="N39" s="36">
        <v>-2.856525</v>
      </c>
      <c r="O39" s="36">
        <v>-2.856525</v>
      </c>
      <c r="P39" s="36">
        <v>0</v>
      </c>
      <c r="Q39" s="36">
        <v>0</v>
      </c>
      <c r="R39" s="36">
        <v>0</v>
      </c>
      <c r="S39" s="36">
        <f t="shared" si="7"/>
        <v>0</v>
      </c>
      <c r="T39" s="36">
        <v>0</v>
      </c>
      <c r="U39" s="40">
        <v>0</v>
      </c>
      <c r="V39" s="40">
        <v>0</v>
      </c>
      <c r="W39" s="40">
        <v>0</v>
      </c>
      <c r="X39" s="40">
        <v>0</v>
      </c>
      <c r="Y39" s="131">
        <f t="shared" si="8"/>
        <v>0</v>
      </c>
      <c r="Z39" s="40">
        <v>0</v>
      </c>
      <c r="AA39" s="40">
        <v>0</v>
      </c>
      <c r="AB39" s="40">
        <v>0</v>
      </c>
      <c r="AC39" s="40">
        <v>0</v>
      </c>
      <c r="AD39" s="131">
        <f t="shared" si="9"/>
        <v>0</v>
      </c>
    </row>
    <row r="40" spans="3:30" x14ac:dyDescent="0.2">
      <c r="C40" s="17" t="s">
        <v>494</v>
      </c>
      <c r="D40" s="36">
        <v>7.9422940000000004</v>
      </c>
      <c r="E40" s="36">
        <v>0.7146539999999999</v>
      </c>
      <c r="F40" s="36">
        <v>-3.360484</v>
      </c>
      <c r="G40" s="36">
        <v>1.023272</v>
      </c>
      <c r="H40" s="36">
        <v>1.490167</v>
      </c>
      <c r="I40" s="36">
        <v>-0.23103400000000018</v>
      </c>
      <c r="J40" s="36">
        <v>-1.0780790000000002</v>
      </c>
      <c r="K40" s="36">
        <v>-2.0910799999999998</v>
      </c>
      <c r="L40" s="36">
        <v>-1.8624580000000002</v>
      </c>
      <c r="M40" s="36">
        <v>0.93147199999999986</v>
      </c>
      <c r="N40" s="36">
        <v>-4.232545</v>
      </c>
      <c r="O40" s="36">
        <v>-7.2546110000000006</v>
      </c>
      <c r="P40" s="36">
        <v>-0.39837400000000001</v>
      </c>
      <c r="Q40" s="36">
        <v>2.9261219999999999</v>
      </c>
      <c r="R40" s="36">
        <v>2.7935569999999998</v>
      </c>
      <c r="S40" s="36">
        <f t="shared" si="7"/>
        <v>-5.592511</v>
      </c>
      <c r="T40" s="36">
        <v>-0.271206</v>
      </c>
      <c r="U40" s="40">
        <v>0</v>
      </c>
      <c r="V40" s="40">
        <v>0</v>
      </c>
      <c r="W40" s="40">
        <v>0</v>
      </c>
      <c r="X40" s="40">
        <v>0</v>
      </c>
      <c r="Y40" s="131">
        <f t="shared" si="8"/>
        <v>0</v>
      </c>
      <c r="Z40" s="40">
        <v>0</v>
      </c>
      <c r="AA40" s="40">
        <v>0</v>
      </c>
      <c r="AB40" s="40">
        <v>0</v>
      </c>
      <c r="AC40" s="40">
        <v>0</v>
      </c>
      <c r="AD40" s="131">
        <f t="shared" si="9"/>
        <v>0</v>
      </c>
    </row>
    <row r="41" spans="3:30" x14ac:dyDescent="0.2">
      <c r="C41" s="32" t="s">
        <v>139</v>
      </c>
      <c r="D41" s="33">
        <f t="shared" ref="D41:S41" si="10">SUM(D31:D40,D29)-D26-D25</f>
        <v>15.113923999999997</v>
      </c>
      <c r="E41" s="33">
        <f t="shared" si="10"/>
        <v>2.3255339999999931</v>
      </c>
      <c r="F41" s="33">
        <f t="shared" si="10"/>
        <v>0.20065199999999939</v>
      </c>
      <c r="G41" s="33">
        <f t="shared" si="10"/>
        <v>9.7626409999999986</v>
      </c>
      <c r="H41" s="33">
        <f t="shared" si="10"/>
        <v>13.952425000000002</v>
      </c>
      <c r="I41" s="33">
        <f t="shared" si="10"/>
        <v>15.222573000000001</v>
      </c>
      <c r="J41" s="33">
        <f t="shared" si="10"/>
        <v>39.138291000000009</v>
      </c>
      <c r="K41" s="33">
        <f t="shared" si="10"/>
        <v>10.093158000000003</v>
      </c>
      <c r="L41" s="33">
        <f t="shared" si="10"/>
        <v>11.182834</v>
      </c>
      <c r="M41" s="33">
        <f t="shared" si="10"/>
        <v>9.6883949999999999</v>
      </c>
      <c r="N41" s="33">
        <f t="shared" si="10"/>
        <v>2.0209540000000015</v>
      </c>
      <c r="O41" s="33">
        <f t="shared" si="10"/>
        <v>32.985340999999984</v>
      </c>
      <c r="P41" s="33">
        <f t="shared" si="10"/>
        <v>2.8507939999999996</v>
      </c>
      <c r="Q41" s="33">
        <f t="shared" si="10"/>
        <v>4.6177469999999996</v>
      </c>
      <c r="R41" s="33">
        <f t="shared" si="10"/>
        <v>4.8916959999999996</v>
      </c>
      <c r="S41" s="33">
        <f t="shared" si="10"/>
        <v>-0.55417499999999853</v>
      </c>
      <c r="T41" s="33">
        <f>SUM(T31:T40,T29)-T26-T25</f>
        <v>11.806061999999988</v>
      </c>
      <c r="U41" s="33">
        <f t="shared" ref="U41:AD41" si="11">SUM(U31:U40,U29)-U26-U25</f>
        <v>2.4285892125000035</v>
      </c>
      <c r="V41" s="33">
        <f t="shared" si="11"/>
        <v>3.4012125600000007</v>
      </c>
      <c r="W41" s="33">
        <f t="shared" si="11"/>
        <v>6.5970064799999975</v>
      </c>
      <c r="X41" s="33">
        <f t="shared" si="11"/>
        <v>7.9466385150000027</v>
      </c>
      <c r="Y41" s="33">
        <f t="shared" si="11"/>
        <v>20.373446767500013</v>
      </c>
      <c r="Z41" s="33">
        <f t="shared" si="11"/>
        <v>1.9512477000000028</v>
      </c>
      <c r="AA41" s="33">
        <f t="shared" si="11"/>
        <v>7.3147918049999978</v>
      </c>
      <c r="AB41" s="33">
        <f t="shared" si="11"/>
        <v>13.064305994999994</v>
      </c>
      <c r="AC41" s="33">
        <f t="shared" si="11"/>
        <v>11.910079080000003</v>
      </c>
      <c r="AD41" s="33">
        <f t="shared" si="11"/>
        <v>34.240424579999996</v>
      </c>
    </row>
    <row r="42" spans="3:30" ht="5.0999999999999996" customHeight="1" x14ac:dyDescent="0.2">
      <c r="D42" s="37"/>
      <c r="E42" s="37"/>
      <c r="F42" s="37"/>
      <c r="G42" s="37"/>
      <c r="H42" s="37"/>
      <c r="I42" s="37"/>
      <c r="J42" s="37"/>
      <c r="K42" s="37"/>
      <c r="L42" s="37"/>
      <c r="M42" s="37"/>
      <c r="N42" s="37"/>
      <c r="O42" s="37"/>
      <c r="P42" s="37"/>
      <c r="Q42" s="37"/>
      <c r="R42" s="37"/>
    </row>
    <row r="43" spans="3:30" x14ac:dyDescent="0.2">
      <c r="C43" s="17" t="s">
        <v>495</v>
      </c>
      <c r="D43" s="36">
        <v>-1.111297</v>
      </c>
      <c r="E43" s="36">
        <v>-0.61110600000000004</v>
      </c>
      <c r="F43" s="36">
        <v>-3.124E-2</v>
      </c>
      <c r="G43" s="36">
        <v>-2.9229999999999985E-3</v>
      </c>
      <c r="H43" s="36">
        <v>-3.7279999999999987E-3</v>
      </c>
      <c r="I43" s="36">
        <v>-8.4290000000000094E-3</v>
      </c>
      <c r="J43" s="36">
        <v>-4.632E-2</v>
      </c>
      <c r="K43" s="36">
        <v>-0.44670100000000001</v>
      </c>
      <c r="L43" s="36">
        <v>-3.933399999999998E-2</v>
      </c>
      <c r="M43" s="36">
        <v>-0.30666800000000005</v>
      </c>
      <c r="N43" s="36">
        <v>-2.5231999999999921E-2</v>
      </c>
      <c r="O43" s="36">
        <v>-0.81793499999999997</v>
      </c>
      <c r="P43" s="36">
        <v>-4.4309000000000001E-2</v>
      </c>
      <c r="Q43" s="36">
        <v>-3.6687999999999998E-2</v>
      </c>
      <c r="R43" s="36">
        <v>-2.2612000000000007E-2</v>
      </c>
      <c r="S43" s="36">
        <f>+T43-R43-Q43-P43</f>
        <v>-3.9319999999999911E-3</v>
      </c>
      <c r="T43" s="36">
        <v>-0.107541</v>
      </c>
      <c r="U43" s="40">
        <v>0</v>
      </c>
      <c r="V43" s="40">
        <v>0</v>
      </c>
      <c r="W43" s="40">
        <v>0</v>
      </c>
      <c r="X43" s="40">
        <v>0</v>
      </c>
      <c r="Y43" s="131">
        <f>SUM(U43:X43)</f>
        <v>0</v>
      </c>
      <c r="Z43" s="40">
        <v>0</v>
      </c>
      <c r="AA43" s="40">
        <v>0</v>
      </c>
      <c r="AB43" s="40">
        <v>0</v>
      </c>
      <c r="AC43" s="40">
        <v>0</v>
      </c>
      <c r="AD43" s="131">
        <f>SUM(Z43:AC43)</f>
        <v>0</v>
      </c>
    </row>
    <row r="44" spans="3:30" x14ac:dyDescent="0.2">
      <c r="C44" s="17" t="s">
        <v>496</v>
      </c>
      <c r="D44" s="36">
        <v>0</v>
      </c>
      <c r="E44" s="36">
        <v>0</v>
      </c>
      <c r="F44" s="36">
        <v>0</v>
      </c>
      <c r="G44" s="36">
        <v>-7.1267129999999996</v>
      </c>
      <c r="H44" s="36">
        <v>-24.510634</v>
      </c>
      <c r="I44" s="36">
        <v>-5.1396599999999983</v>
      </c>
      <c r="J44" s="36">
        <v>-36.777006999999998</v>
      </c>
      <c r="K44" s="36">
        <v>-21.214124999999999</v>
      </c>
      <c r="L44" s="36">
        <v>-15.754262000000001</v>
      </c>
      <c r="M44" s="36">
        <v>-2.0000000020559128E-6</v>
      </c>
      <c r="N44" s="36">
        <v>0</v>
      </c>
      <c r="O44" s="36">
        <v>-36.968389000000002</v>
      </c>
      <c r="P44" s="36">
        <v>0</v>
      </c>
      <c r="Q44" s="36">
        <v>0</v>
      </c>
      <c r="R44" s="36">
        <v>-6.535952</v>
      </c>
      <c r="S44" s="36">
        <f>+T44-R44-Q44-P44</f>
        <v>-58.643065</v>
      </c>
      <c r="T44" s="36">
        <v>-65.179017000000002</v>
      </c>
      <c r="U44" s="40">
        <v>0</v>
      </c>
      <c r="V44" s="40">
        <v>0</v>
      </c>
      <c r="W44" s="40">
        <v>0</v>
      </c>
      <c r="X44" s="40">
        <v>0</v>
      </c>
      <c r="Y44" s="131">
        <f>SUM(U44:X44)</f>
        <v>0</v>
      </c>
      <c r="Z44" s="40">
        <v>0</v>
      </c>
      <c r="AA44" s="40">
        <v>0</v>
      </c>
      <c r="AB44" s="40">
        <v>0</v>
      </c>
      <c r="AC44" s="40">
        <v>0</v>
      </c>
      <c r="AD44" s="131">
        <f>SUM(Z44:AC44)</f>
        <v>0</v>
      </c>
    </row>
    <row r="45" spans="3:30" x14ac:dyDescent="0.2">
      <c r="C45" s="17" t="s">
        <v>497</v>
      </c>
      <c r="D45" s="36">
        <v>0</v>
      </c>
      <c r="E45" s="36">
        <v>0</v>
      </c>
      <c r="F45" s="36">
        <v>0</v>
      </c>
      <c r="G45" s="36">
        <v>0</v>
      </c>
      <c r="H45" s="36">
        <v>0</v>
      </c>
      <c r="I45" s="36">
        <v>0</v>
      </c>
      <c r="J45" s="36">
        <v>0</v>
      </c>
      <c r="K45" s="36">
        <v>0</v>
      </c>
      <c r="L45" s="36">
        <v>0</v>
      </c>
      <c r="M45" s="36">
        <v>0</v>
      </c>
      <c r="N45" s="36">
        <v>9.3877170000000003</v>
      </c>
      <c r="O45" s="36">
        <v>9.3877170000000003</v>
      </c>
      <c r="P45" s="36">
        <v>-1.5273999999999999E-2</v>
      </c>
      <c r="Q45" s="36">
        <v>0</v>
      </c>
      <c r="R45" s="36">
        <v>0</v>
      </c>
      <c r="S45" s="36">
        <f>+T45-R45-Q45-P45</f>
        <v>0</v>
      </c>
      <c r="T45" s="36">
        <v>-1.5273999999999999E-2</v>
      </c>
      <c r="U45" s="40">
        <v>0</v>
      </c>
      <c r="V45" s="40">
        <v>0</v>
      </c>
      <c r="W45" s="40">
        <v>0</v>
      </c>
      <c r="X45" s="40">
        <v>0</v>
      </c>
      <c r="Y45" s="131">
        <f>SUM(U45:X45)</f>
        <v>0</v>
      </c>
      <c r="Z45" s="40">
        <v>0</v>
      </c>
      <c r="AA45" s="40">
        <v>0</v>
      </c>
      <c r="AB45" s="40">
        <v>0</v>
      </c>
      <c r="AC45" s="40">
        <v>0</v>
      </c>
      <c r="AD45" s="131">
        <f>SUM(Z45:AC45)</f>
        <v>0</v>
      </c>
    </row>
    <row r="46" spans="3:30" x14ac:dyDescent="0.2">
      <c r="C46" s="32" t="s">
        <v>138</v>
      </c>
      <c r="D46" s="33">
        <f t="shared" ref="D46:AD46" si="12">+SUM(D43:D45)</f>
        <v>-1.111297</v>
      </c>
      <c r="E46" s="33">
        <f t="shared" si="12"/>
        <v>-0.61110600000000004</v>
      </c>
      <c r="F46" s="33">
        <f t="shared" si="12"/>
        <v>-3.124E-2</v>
      </c>
      <c r="G46" s="33">
        <f t="shared" si="12"/>
        <v>-7.1296359999999996</v>
      </c>
      <c r="H46" s="33">
        <f t="shared" si="12"/>
        <v>-24.514361999999998</v>
      </c>
      <c r="I46" s="33">
        <f t="shared" si="12"/>
        <v>-5.1480889999999979</v>
      </c>
      <c r="J46" s="33">
        <f t="shared" si="12"/>
        <v>-36.823326999999999</v>
      </c>
      <c r="K46" s="33">
        <f t="shared" si="12"/>
        <v>-21.660826</v>
      </c>
      <c r="L46" s="33">
        <f t="shared" si="12"/>
        <v>-15.793596000000001</v>
      </c>
      <c r="M46" s="33">
        <f t="shared" si="12"/>
        <v>-0.30667000000000211</v>
      </c>
      <c r="N46" s="33">
        <f t="shared" si="12"/>
        <v>9.3624849999999995</v>
      </c>
      <c r="O46" s="33">
        <f t="shared" si="12"/>
        <v>-28.398606999999998</v>
      </c>
      <c r="P46" s="33">
        <f t="shared" si="12"/>
        <v>-5.9582999999999997E-2</v>
      </c>
      <c r="Q46" s="33">
        <f t="shared" si="12"/>
        <v>-3.6687999999999998E-2</v>
      </c>
      <c r="R46" s="33">
        <f t="shared" si="12"/>
        <v>-6.5585639999999996</v>
      </c>
      <c r="S46" s="33">
        <f t="shared" si="12"/>
        <v>-58.646996999999999</v>
      </c>
      <c r="T46" s="33">
        <f t="shared" si="12"/>
        <v>-65.301832000000005</v>
      </c>
      <c r="U46" s="33">
        <f t="shared" si="12"/>
        <v>0</v>
      </c>
      <c r="V46" s="33">
        <f t="shared" si="12"/>
        <v>0</v>
      </c>
      <c r="W46" s="33">
        <f t="shared" si="12"/>
        <v>0</v>
      </c>
      <c r="X46" s="33">
        <f t="shared" si="12"/>
        <v>0</v>
      </c>
      <c r="Y46" s="33">
        <f t="shared" si="12"/>
        <v>0</v>
      </c>
      <c r="Z46" s="33">
        <f t="shared" si="12"/>
        <v>0</v>
      </c>
      <c r="AA46" s="33">
        <f t="shared" si="12"/>
        <v>0</v>
      </c>
      <c r="AB46" s="33">
        <f t="shared" si="12"/>
        <v>0</v>
      </c>
      <c r="AC46" s="33">
        <f t="shared" si="12"/>
        <v>0</v>
      </c>
      <c r="AD46" s="33">
        <f t="shared" si="12"/>
        <v>0</v>
      </c>
    </row>
    <row r="47" spans="3:30" ht="5.0999999999999996" customHeight="1" x14ac:dyDescent="0.2">
      <c r="D47" s="37"/>
      <c r="E47" s="37"/>
      <c r="F47" s="37"/>
      <c r="G47" s="37"/>
      <c r="H47" s="37"/>
      <c r="I47" s="37"/>
      <c r="J47" s="37"/>
      <c r="K47" s="37"/>
      <c r="L47" s="37"/>
      <c r="M47" s="37"/>
      <c r="N47" s="37"/>
      <c r="O47" s="37"/>
      <c r="P47" s="37"/>
      <c r="Q47" s="37"/>
      <c r="R47" s="37"/>
    </row>
    <row r="48" spans="3:30" x14ac:dyDescent="0.2">
      <c r="C48" s="17" t="s">
        <v>498</v>
      </c>
      <c r="D48" s="36">
        <v>0</v>
      </c>
      <c r="E48" s="36">
        <v>0</v>
      </c>
      <c r="F48" s="36">
        <v>0</v>
      </c>
      <c r="G48" s="36">
        <v>0</v>
      </c>
      <c r="H48" s="36">
        <v>0</v>
      </c>
      <c r="I48" s="36">
        <v>0</v>
      </c>
      <c r="J48" s="36">
        <v>0</v>
      </c>
      <c r="K48" s="36">
        <v>0</v>
      </c>
      <c r="L48" s="36">
        <v>0</v>
      </c>
      <c r="M48" s="36">
        <v>0</v>
      </c>
      <c r="N48" s="36">
        <v>0</v>
      </c>
      <c r="O48" s="36">
        <v>0</v>
      </c>
      <c r="P48" s="36">
        <v>0</v>
      </c>
      <c r="Q48" s="36">
        <v>0</v>
      </c>
      <c r="R48" s="36">
        <v>0</v>
      </c>
      <c r="S48" s="36">
        <f>+T48-R48-Q48-P48</f>
        <v>0</v>
      </c>
      <c r="T48" s="36">
        <v>0</v>
      </c>
      <c r="U48" s="40">
        <v>0</v>
      </c>
      <c r="V48" s="40">
        <v>0</v>
      </c>
      <c r="W48" s="40">
        <v>0</v>
      </c>
      <c r="X48" s="40">
        <v>0</v>
      </c>
      <c r="Y48" s="131">
        <f t="shared" ref="Y48:Y59" si="13">SUM(U48:X48)</f>
        <v>0</v>
      </c>
      <c r="Z48" s="40">
        <v>0</v>
      </c>
      <c r="AA48" s="40">
        <v>0</v>
      </c>
      <c r="AB48" s="40">
        <v>0</v>
      </c>
      <c r="AC48" s="40">
        <v>0</v>
      </c>
      <c r="AD48" s="131">
        <f t="shared" ref="AD48:AD59" si="14">SUM(Z48:AC48)</f>
        <v>0</v>
      </c>
    </row>
    <row r="49" spans="3:30" x14ac:dyDescent="0.2">
      <c r="C49" s="17" t="s">
        <v>499</v>
      </c>
      <c r="D49" s="36">
        <v>-4.3</v>
      </c>
      <c r="E49" s="36">
        <v>0</v>
      </c>
      <c r="F49" s="36">
        <v>-3</v>
      </c>
      <c r="G49" s="36">
        <v>0</v>
      </c>
      <c r="H49" s="36">
        <v>0</v>
      </c>
      <c r="I49" s="36">
        <v>-13.606000000000002</v>
      </c>
      <c r="J49" s="36">
        <v>-16.606000000000002</v>
      </c>
      <c r="K49" s="36">
        <v>0</v>
      </c>
      <c r="L49" s="36">
        <v>0</v>
      </c>
      <c r="M49" s="36">
        <v>0</v>
      </c>
      <c r="N49" s="36">
        <v>0</v>
      </c>
      <c r="O49" s="36">
        <v>0</v>
      </c>
      <c r="P49" s="36">
        <v>0</v>
      </c>
      <c r="Q49" s="36">
        <v>0</v>
      </c>
      <c r="R49" s="36">
        <v>0</v>
      </c>
      <c r="S49" s="36">
        <f t="shared" ref="S49:S59" si="15">+T49-R49-Q49-P49</f>
        <v>0</v>
      </c>
      <c r="T49" s="36">
        <v>0</v>
      </c>
      <c r="U49" s="40">
        <v>0</v>
      </c>
      <c r="V49" s="40">
        <v>0</v>
      </c>
      <c r="W49" s="40">
        <v>0</v>
      </c>
      <c r="X49" s="40">
        <v>0</v>
      </c>
      <c r="Y49" s="131">
        <f t="shared" si="13"/>
        <v>0</v>
      </c>
      <c r="Z49" s="40">
        <v>0</v>
      </c>
      <c r="AA49" s="40">
        <v>0</v>
      </c>
      <c r="AB49" s="40">
        <v>0</v>
      </c>
      <c r="AC49" s="40">
        <v>0</v>
      </c>
      <c r="AD49" s="131">
        <f t="shared" si="14"/>
        <v>0</v>
      </c>
    </row>
    <row r="50" spans="3:30" x14ac:dyDescent="0.2">
      <c r="C50" s="17" t="s">
        <v>500</v>
      </c>
      <c r="D50" s="36">
        <v>0</v>
      </c>
      <c r="E50" s="36">
        <v>0</v>
      </c>
      <c r="F50" s="36">
        <v>0</v>
      </c>
      <c r="G50" s="36">
        <v>2.9565939999999999</v>
      </c>
      <c r="H50" s="36">
        <v>6.2334190000000005</v>
      </c>
      <c r="I50" s="36">
        <v>0.78529900000000019</v>
      </c>
      <c r="J50" s="36">
        <v>9.9753120000000006</v>
      </c>
      <c r="K50" s="36">
        <v>0</v>
      </c>
      <c r="L50" s="36">
        <v>2.6849509999999999</v>
      </c>
      <c r="M50" s="36">
        <v>6.5099999999995717E-4</v>
      </c>
      <c r="N50" s="36">
        <v>0</v>
      </c>
      <c r="O50" s="36">
        <v>2.6856019999999998</v>
      </c>
      <c r="P50" s="36">
        <v>0</v>
      </c>
      <c r="Q50" s="36">
        <v>0</v>
      </c>
      <c r="R50" s="36">
        <v>0</v>
      </c>
      <c r="S50" s="36">
        <f t="shared" si="15"/>
        <v>0</v>
      </c>
      <c r="T50" s="36">
        <v>0</v>
      </c>
      <c r="U50" s="40">
        <v>0</v>
      </c>
      <c r="V50" s="40">
        <v>0</v>
      </c>
      <c r="W50" s="40">
        <v>0</v>
      </c>
      <c r="X50" s="40">
        <v>0</v>
      </c>
      <c r="Y50" s="131">
        <f t="shared" si="13"/>
        <v>0</v>
      </c>
      <c r="Z50" s="40">
        <v>0</v>
      </c>
      <c r="AA50" s="40">
        <v>0</v>
      </c>
      <c r="AB50" s="40">
        <v>0</v>
      </c>
      <c r="AC50" s="40">
        <v>0</v>
      </c>
      <c r="AD50" s="131">
        <f t="shared" si="14"/>
        <v>0</v>
      </c>
    </row>
    <row r="51" spans="3:30" x14ac:dyDescent="0.2">
      <c r="C51" s="17" t="s">
        <v>501</v>
      </c>
      <c r="D51" s="36">
        <v>0</v>
      </c>
      <c r="E51" s="36">
        <v>0</v>
      </c>
      <c r="F51" s="36"/>
      <c r="G51" s="36"/>
      <c r="H51" s="36"/>
      <c r="I51" s="36"/>
      <c r="J51" s="36">
        <v>0</v>
      </c>
      <c r="K51" s="36">
        <v>0</v>
      </c>
      <c r="L51" s="36">
        <v>0</v>
      </c>
      <c r="M51" s="36">
        <v>-1.469522</v>
      </c>
      <c r="N51" s="36">
        <v>-0.5297400000000001</v>
      </c>
      <c r="O51" s="36">
        <v>-1.9992620000000001</v>
      </c>
      <c r="P51" s="36">
        <v>-1.000122</v>
      </c>
      <c r="Q51" s="36">
        <v>-4.8931999999999976E-2</v>
      </c>
      <c r="R51" s="36">
        <v>-0.73303000000000007</v>
      </c>
      <c r="S51" s="36">
        <f t="shared" si="15"/>
        <v>-0.24848599999999998</v>
      </c>
      <c r="T51" s="36">
        <v>-2.03057</v>
      </c>
      <c r="U51" s="40">
        <v>0</v>
      </c>
      <c r="V51" s="40">
        <v>0</v>
      </c>
      <c r="W51" s="40">
        <v>0</v>
      </c>
      <c r="X51" s="40">
        <v>0</v>
      </c>
      <c r="Y51" s="131">
        <f t="shared" si="13"/>
        <v>0</v>
      </c>
      <c r="Z51" s="40">
        <v>0</v>
      </c>
      <c r="AA51" s="40">
        <v>0</v>
      </c>
      <c r="AB51" s="40">
        <v>0</v>
      </c>
      <c r="AC51" s="40">
        <v>0</v>
      </c>
      <c r="AD51" s="131">
        <f t="shared" si="14"/>
        <v>0</v>
      </c>
    </row>
    <row r="52" spans="3:30" x14ac:dyDescent="0.2">
      <c r="C52" s="17" t="s">
        <v>502</v>
      </c>
      <c r="D52" s="36">
        <v>-1.311612</v>
      </c>
      <c r="E52" s="36">
        <v>-0.71355199999999996</v>
      </c>
      <c r="F52" s="36">
        <v>0</v>
      </c>
      <c r="G52" s="36">
        <v>0</v>
      </c>
      <c r="H52" s="36">
        <v>-0.57092500000000002</v>
      </c>
      <c r="I52" s="36">
        <v>-0.51497699999999991</v>
      </c>
      <c r="J52" s="36">
        <v>-1.0859019999999999</v>
      </c>
      <c r="K52" s="36">
        <v>0</v>
      </c>
      <c r="L52" s="36">
        <v>0</v>
      </c>
      <c r="M52" s="36">
        <v>0</v>
      </c>
      <c r="N52" s="36">
        <v>0</v>
      </c>
      <c r="O52" s="36">
        <v>0</v>
      </c>
      <c r="P52" s="36">
        <v>0</v>
      </c>
      <c r="Q52" s="36">
        <v>0</v>
      </c>
      <c r="R52" s="36">
        <v>0</v>
      </c>
      <c r="S52" s="36">
        <f t="shared" si="15"/>
        <v>0</v>
      </c>
      <c r="T52" s="36">
        <v>0</v>
      </c>
      <c r="U52" s="40">
        <v>0</v>
      </c>
      <c r="V52" s="40">
        <v>0</v>
      </c>
      <c r="W52" s="40">
        <v>0</v>
      </c>
      <c r="X52" s="40">
        <v>0</v>
      </c>
      <c r="Y52" s="131">
        <f t="shared" si="13"/>
        <v>0</v>
      </c>
      <c r="Z52" s="40">
        <v>0</v>
      </c>
      <c r="AA52" s="40">
        <v>0</v>
      </c>
      <c r="AB52" s="40">
        <v>0</v>
      </c>
      <c r="AC52" s="40">
        <v>0</v>
      </c>
      <c r="AD52" s="131">
        <f t="shared" si="14"/>
        <v>0</v>
      </c>
    </row>
    <row r="53" spans="3:30" x14ac:dyDescent="0.2">
      <c r="C53" s="17" t="s">
        <v>503</v>
      </c>
      <c r="D53" s="36">
        <v>0</v>
      </c>
      <c r="E53" s="36">
        <v>0</v>
      </c>
      <c r="F53" s="36">
        <v>0</v>
      </c>
      <c r="G53" s="36">
        <v>0</v>
      </c>
      <c r="H53" s="36">
        <v>0</v>
      </c>
      <c r="I53" s="36">
        <v>-0.21982599999999999</v>
      </c>
      <c r="J53" s="36">
        <v>-0.21982599999999999</v>
      </c>
      <c r="K53" s="36">
        <v>-1.2427000000000001E-2</v>
      </c>
      <c r="L53" s="36">
        <v>0</v>
      </c>
      <c r="M53" s="36">
        <v>0</v>
      </c>
      <c r="N53" s="36">
        <v>0</v>
      </c>
      <c r="O53" s="36">
        <v>-1.2427000000000001E-2</v>
      </c>
      <c r="P53" s="36">
        <v>0</v>
      </c>
      <c r="Q53" s="36">
        <v>0</v>
      </c>
      <c r="R53" s="36">
        <v>0</v>
      </c>
      <c r="S53" s="36">
        <f t="shared" si="15"/>
        <v>-0.13732900000000001</v>
      </c>
      <c r="T53" s="36">
        <v>-0.13732900000000001</v>
      </c>
      <c r="U53" s="40">
        <v>0</v>
      </c>
      <c r="V53" s="40">
        <v>0</v>
      </c>
      <c r="W53" s="40">
        <v>0</v>
      </c>
      <c r="X53" s="40">
        <v>0</v>
      </c>
      <c r="Y53" s="131">
        <f t="shared" si="13"/>
        <v>0</v>
      </c>
      <c r="Z53" s="40">
        <v>0</v>
      </c>
      <c r="AA53" s="40">
        <v>0</v>
      </c>
      <c r="AB53" s="40">
        <v>0</v>
      </c>
      <c r="AC53" s="40">
        <v>0</v>
      </c>
      <c r="AD53" s="131">
        <f t="shared" si="14"/>
        <v>0</v>
      </c>
    </row>
    <row r="54" spans="3:30" x14ac:dyDescent="0.2">
      <c r="C54" s="17" t="s">
        <v>504</v>
      </c>
      <c r="D54" s="36">
        <v>-2.2499999999999999E-2</v>
      </c>
      <c r="E54" s="36">
        <v>0</v>
      </c>
      <c r="F54" s="36">
        <v>-0.25</v>
      </c>
      <c r="G54" s="36">
        <v>-0.15000000000000002</v>
      </c>
      <c r="H54" s="36">
        <v>-0.248</v>
      </c>
      <c r="I54" s="36">
        <v>-0.11249999999999993</v>
      </c>
      <c r="J54" s="36">
        <v>-0.76049999999999995</v>
      </c>
      <c r="K54" s="36">
        <v>0</v>
      </c>
      <c r="L54" s="36">
        <v>0</v>
      </c>
      <c r="M54" s="36">
        <v>-0.15</v>
      </c>
      <c r="N54" s="36">
        <v>0</v>
      </c>
      <c r="O54" s="36">
        <v>-0.15</v>
      </c>
      <c r="P54" s="36">
        <v>0</v>
      </c>
      <c r="Q54" s="36">
        <v>-0.126</v>
      </c>
      <c r="R54" s="36">
        <v>0</v>
      </c>
      <c r="S54" s="36">
        <f t="shared" si="15"/>
        <v>-0.35375000000000001</v>
      </c>
      <c r="T54" s="36">
        <v>-0.47975000000000001</v>
      </c>
      <c r="U54" s="40">
        <v>0</v>
      </c>
      <c r="V54" s="40">
        <v>0</v>
      </c>
      <c r="W54" s="40">
        <v>0</v>
      </c>
      <c r="X54" s="40">
        <v>0</v>
      </c>
      <c r="Y54" s="131">
        <f t="shared" si="13"/>
        <v>0</v>
      </c>
      <c r="Z54" s="40">
        <v>0</v>
      </c>
      <c r="AA54" s="40">
        <v>0</v>
      </c>
      <c r="AB54" s="40">
        <v>0</v>
      </c>
      <c r="AC54" s="40">
        <v>0</v>
      </c>
      <c r="AD54" s="131">
        <f t="shared" si="14"/>
        <v>0</v>
      </c>
    </row>
    <row r="55" spans="3:30" x14ac:dyDescent="0.2">
      <c r="C55" s="17" t="s">
        <v>505</v>
      </c>
      <c r="D55" s="36">
        <v>0</v>
      </c>
      <c r="E55" s="36">
        <v>0</v>
      </c>
      <c r="F55" s="36">
        <v>0</v>
      </c>
      <c r="G55" s="36">
        <v>6</v>
      </c>
      <c r="H55" s="36">
        <v>0</v>
      </c>
      <c r="I55" s="36">
        <v>0</v>
      </c>
      <c r="J55" s="36">
        <v>6</v>
      </c>
      <c r="K55" s="36">
        <v>0</v>
      </c>
      <c r="L55" s="36">
        <v>0</v>
      </c>
      <c r="M55" s="36">
        <v>0</v>
      </c>
      <c r="N55" s="36">
        <v>0</v>
      </c>
      <c r="O55" s="36">
        <v>0</v>
      </c>
      <c r="P55" s="36">
        <v>0</v>
      </c>
      <c r="Q55" s="36">
        <v>0</v>
      </c>
      <c r="R55" s="36">
        <v>0</v>
      </c>
      <c r="S55" s="36">
        <f t="shared" si="15"/>
        <v>0</v>
      </c>
      <c r="T55" s="36">
        <v>0</v>
      </c>
      <c r="U55" s="40">
        <v>0</v>
      </c>
      <c r="V55" s="40">
        <v>0</v>
      </c>
      <c r="W55" s="40">
        <v>0</v>
      </c>
      <c r="X55" s="40">
        <v>0</v>
      </c>
      <c r="Y55" s="131">
        <f t="shared" si="13"/>
        <v>0</v>
      </c>
      <c r="Z55" s="40">
        <v>0</v>
      </c>
      <c r="AA55" s="40">
        <v>0</v>
      </c>
      <c r="AB55" s="40">
        <v>0</v>
      </c>
      <c r="AC55" s="40">
        <v>0</v>
      </c>
      <c r="AD55" s="131">
        <f t="shared" si="14"/>
        <v>0</v>
      </c>
    </row>
    <row r="56" spans="3:30" x14ac:dyDescent="0.2">
      <c r="C56" s="17" t="s">
        <v>703</v>
      </c>
      <c r="D56" s="36">
        <v>0</v>
      </c>
      <c r="E56" s="36">
        <v>0</v>
      </c>
      <c r="F56" s="36">
        <v>0</v>
      </c>
      <c r="G56" s="36">
        <v>0</v>
      </c>
      <c r="H56" s="36">
        <v>0</v>
      </c>
      <c r="I56" s="36">
        <v>0</v>
      </c>
      <c r="J56" s="36">
        <v>0</v>
      </c>
      <c r="K56" s="36">
        <v>0</v>
      </c>
      <c r="L56" s="36">
        <v>0</v>
      </c>
      <c r="M56" s="36">
        <v>0</v>
      </c>
      <c r="N56" s="36">
        <v>0</v>
      </c>
      <c r="O56" s="36">
        <v>0</v>
      </c>
      <c r="P56" s="36">
        <v>0</v>
      </c>
      <c r="Q56" s="36">
        <v>0</v>
      </c>
      <c r="R56" s="36">
        <v>0</v>
      </c>
      <c r="S56" s="36">
        <f t="shared" si="15"/>
        <v>10.14</v>
      </c>
      <c r="T56" s="36">
        <v>10.14</v>
      </c>
      <c r="U56" s="40">
        <v>0</v>
      </c>
      <c r="V56" s="40">
        <v>0</v>
      </c>
      <c r="W56" s="40">
        <v>0</v>
      </c>
      <c r="X56" s="40">
        <v>0</v>
      </c>
      <c r="Y56" s="131">
        <f t="shared" si="13"/>
        <v>0</v>
      </c>
      <c r="Z56" s="40">
        <v>0</v>
      </c>
      <c r="AA56" s="40">
        <v>0</v>
      </c>
      <c r="AB56" s="40">
        <v>0</v>
      </c>
      <c r="AC56" s="40">
        <v>0</v>
      </c>
      <c r="AD56" s="131">
        <f t="shared" si="14"/>
        <v>0</v>
      </c>
    </row>
    <row r="57" spans="3:30" x14ac:dyDescent="0.2">
      <c r="C57" s="17" t="s">
        <v>506</v>
      </c>
      <c r="D57" s="36">
        <v>4.5</v>
      </c>
      <c r="E57" s="36">
        <v>0</v>
      </c>
      <c r="F57" s="36">
        <v>31.7</v>
      </c>
      <c r="G57" s="36">
        <v>0</v>
      </c>
      <c r="H57" s="36">
        <v>30.000000000000004</v>
      </c>
      <c r="I57" s="36">
        <v>9.0000000000000036</v>
      </c>
      <c r="J57" s="36">
        <v>70.7</v>
      </c>
      <c r="K57" s="36">
        <v>0</v>
      </c>
      <c r="L57" s="36">
        <v>0</v>
      </c>
      <c r="M57" s="36">
        <v>20</v>
      </c>
      <c r="N57" s="36">
        <v>0</v>
      </c>
      <c r="O57" s="36">
        <v>20</v>
      </c>
      <c r="P57" s="36">
        <v>0</v>
      </c>
      <c r="Q57" s="36">
        <v>14</v>
      </c>
      <c r="R57" s="36">
        <v>0</v>
      </c>
      <c r="S57" s="36">
        <f t="shared" si="15"/>
        <v>32.5</v>
      </c>
      <c r="T57" s="36">
        <v>46.5</v>
      </c>
      <c r="U57" s="40">
        <v>0</v>
      </c>
      <c r="V57" s="40">
        <v>0</v>
      </c>
      <c r="W57" s="40">
        <v>0</v>
      </c>
      <c r="X57" s="40">
        <v>0</v>
      </c>
      <c r="Y57" s="131">
        <f t="shared" si="13"/>
        <v>0</v>
      </c>
      <c r="Z57" s="40">
        <v>0</v>
      </c>
      <c r="AA57" s="40">
        <v>0</v>
      </c>
      <c r="AB57" s="40">
        <v>0</v>
      </c>
      <c r="AC57" s="40">
        <v>0</v>
      </c>
      <c r="AD57" s="131">
        <f t="shared" si="14"/>
        <v>0</v>
      </c>
    </row>
    <row r="58" spans="3:30" x14ac:dyDescent="0.2">
      <c r="C58" s="17" t="s">
        <v>507</v>
      </c>
      <c r="D58" s="36">
        <v>0</v>
      </c>
      <c r="E58" s="36">
        <v>0</v>
      </c>
      <c r="F58" s="36">
        <v>0</v>
      </c>
      <c r="G58" s="36">
        <v>0</v>
      </c>
      <c r="H58" s="36">
        <v>-2.7</v>
      </c>
      <c r="I58" s="36">
        <v>0</v>
      </c>
      <c r="J58" s="36">
        <v>-2.7</v>
      </c>
      <c r="K58" s="36">
        <v>0</v>
      </c>
      <c r="L58" s="36">
        <v>0</v>
      </c>
      <c r="M58" s="36">
        <v>0</v>
      </c>
      <c r="N58" s="36">
        <v>0</v>
      </c>
      <c r="O58" s="36">
        <v>0</v>
      </c>
      <c r="P58" s="36">
        <v>0</v>
      </c>
      <c r="Q58" s="36">
        <v>0</v>
      </c>
      <c r="R58" s="36">
        <v>0</v>
      </c>
      <c r="S58" s="36">
        <f t="shared" si="15"/>
        <v>0</v>
      </c>
      <c r="T58" s="36">
        <v>0</v>
      </c>
      <c r="U58" s="40">
        <v>0</v>
      </c>
      <c r="V58" s="40">
        <v>0</v>
      </c>
      <c r="W58" s="40">
        <v>0</v>
      </c>
      <c r="X58" s="40">
        <v>0</v>
      </c>
      <c r="Y58" s="131">
        <f t="shared" si="13"/>
        <v>0</v>
      </c>
      <c r="Z58" s="40">
        <v>0</v>
      </c>
      <c r="AA58" s="40">
        <v>0</v>
      </c>
      <c r="AB58" s="40">
        <v>0</v>
      </c>
      <c r="AC58" s="40">
        <v>0</v>
      </c>
      <c r="AD58" s="131">
        <f t="shared" si="14"/>
        <v>0</v>
      </c>
    </row>
    <row r="59" spans="3:30" x14ac:dyDescent="0.2">
      <c r="C59" s="17" t="s">
        <v>508</v>
      </c>
      <c r="D59" s="36">
        <v>-11.494</v>
      </c>
      <c r="E59" s="36">
        <v>-5.524</v>
      </c>
      <c r="F59" s="36">
        <v>-27.042000000000002</v>
      </c>
      <c r="G59" s="36">
        <v>-1.7349999999999994</v>
      </c>
      <c r="H59" s="36">
        <v>-15.435000000000002</v>
      </c>
      <c r="I59" s="36">
        <v>1.5150000000000006</v>
      </c>
      <c r="J59" s="36">
        <v>-42.697000000000003</v>
      </c>
      <c r="K59" s="36">
        <v>-3.7850000000000001</v>
      </c>
      <c r="L59" s="36">
        <v>-3.7850000000000001</v>
      </c>
      <c r="M59" s="36">
        <v>-3.7850000000000001</v>
      </c>
      <c r="N59" s="36">
        <v>-6.16</v>
      </c>
      <c r="O59" s="36">
        <v>-17.515000000000001</v>
      </c>
      <c r="P59" s="36">
        <v>-14.935</v>
      </c>
      <c r="Q59" s="36">
        <v>-2.8849999999999998</v>
      </c>
      <c r="R59" s="36">
        <v>-3.0749999999999975</v>
      </c>
      <c r="S59" s="36">
        <f t="shared" si="15"/>
        <v>-2.6250000000000018</v>
      </c>
      <c r="T59" s="36">
        <v>-23.52</v>
      </c>
      <c r="U59" s="40">
        <f>-(U170*U164*COUNT(U149:U161)/1000000)</f>
        <v>-2.72844</v>
      </c>
      <c r="V59" s="40">
        <f>-(V170*V164*COUNT(V149:V161)/1000000)</f>
        <v>-2.72844</v>
      </c>
      <c r="W59" s="40">
        <f>-(W170*W164*COUNT(W149:W161)/1000000)</f>
        <v>-2.72844</v>
      </c>
      <c r="X59" s="40">
        <f>-(X170*X164*COUNT(X149:X161)/1000000)</f>
        <v>-2.72844</v>
      </c>
      <c r="Y59" s="131">
        <f t="shared" si="13"/>
        <v>-10.91376</v>
      </c>
      <c r="Z59" s="40">
        <f>-(Z170*Z164*COUNT(Z149:Z161)/1000000)</f>
        <v>-2.72844</v>
      </c>
      <c r="AA59" s="40">
        <f>-(AA170*AA164*COUNT(AA149:AA161)/1000000)</f>
        <v>-2.72844</v>
      </c>
      <c r="AB59" s="40">
        <f>-(AB170*AB164*COUNT(AB149:AB161)/1000000)</f>
        <v>-2.72844</v>
      </c>
      <c r="AC59" s="40">
        <f>-(AC170*AC164*COUNT(AC149:AC161)/1000000)</f>
        <v>-2.72844</v>
      </c>
      <c r="AD59" s="131">
        <f t="shared" si="14"/>
        <v>-10.91376</v>
      </c>
    </row>
    <row r="60" spans="3:30" x14ac:dyDescent="0.2">
      <c r="C60" s="32" t="s">
        <v>140</v>
      </c>
      <c r="D60" s="33">
        <f>SUM(D48:D59)</f>
        <v>-12.628112</v>
      </c>
      <c r="E60" s="33">
        <f t="shared" ref="E60:AD60" si="16">SUM(E48:E59)</f>
        <v>-6.237552</v>
      </c>
      <c r="F60" s="33">
        <f t="shared" si="16"/>
        <v>1.4079999999999977</v>
      </c>
      <c r="G60" s="33">
        <f t="shared" si="16"/>
        <v>7.071594000000001</v>
      </c>
      <c r="H60" s="33">
        <f t="shared" si="16"/>
        <v>17.279494</v>
      </c>
      <c r="I60" s="33">
        <f t="shared" si="16"/>
        <v>-3.1530039999999975</v>
      </c>
      <c r="J60" s="33">
        <f t="shared" si="16"/>
        <v>22.606083999999996</v>
      </c>
      <c r="K60" s="33">
        <f t="shared" si="16"/>
        <v>-3.7974270000000003</v>
      </c>
      <c r="L60" s="33">
        <f t="shared" si="16"/>
        <v>-1.1000490000000003</v>
      </c>
      <c r="M60" s="33">
        <f t="shared" si="16"/>
        <v>14.596129000000001</v>
      </c>
      <c r="N60" s="33">
        <f t="shared" si="16"/>
        <v>-6.6897400000000005</v>
      </c>
      <c r="O60" s="33">
        <f t="shared" si="16"/>
        <v>3.0089129999999997</v>
      </c>
      <c r="P60" s="33">
        <f t="shared" si="16"/>
        <v>-15.935122</v>
      </c>
      <c r="Q60" s="33">
        <f t="shared" si="16"/>
        <v>10.940068</v>
      </c>
      <c r="R60" s="33">
        <f t="shared" si="16"/>
        <v>-3.8080299999999978</v>
      </c>
      <c r="S60" s="33">
        <f t="shared" si="16"/>
        <v>39.275435000000002</v>
      </c>
      <c r="T60" s="33">
        <f t="shared" si="16"/>
        <v>30.472351</v>
      </c>
      <c r="U60" s="33">
        <f t="shared" si="16"/>
        <v>-2.72844</v>
      </c>
      <c r="V60" s="33">
        <f t="shared" si="16"/>
        <v>-2.72844</v>
      </c>
      <c r="W60" s="33">
        <f t="shared" si="16"/>
        <v>-2.72844</v>
      </c>
      <c r="X60" s="33">
        <f t="shared" si="16"/>
        <v>-2.72844</v>
      </c>
      <c r="Y60" s="33">
        <f t="shared" si="16"/>
        <v>-10.91376</v>
      </c>
      <c r="Z60" s="33">
        <f t="shared" si="16"/>
        <v>-2.72844</v>
      </c>
      <c r="AA60" s="33">
        <f t="shared" si="16"/>
        <v>-2.72844</v>
      </c>
      <c r="AB60" s="33">
        <f t="shared" si="16"/>
        <v>-2.72844</v>
      </c>
      <c r="AC60" s="33">
        <f t="shared" si="16"/>
        <v>-2.72844</v>
      </c>
      <c r="AD60" s="33">
        <f t="shared" si="16"/>
        <v>-10.91376</v>
      </c>
    </row>
    <row r="61" spans="3:30" ht="5.0999999999999996" customHeight="1" x14ac:dyDescent="0.2">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row>
    <row r="62" spans="3:30" x14ac:dyDescent="0.2">
      <c r="C62" s="32" t="s">
        <v>141</v>
      </c>
      <c r="D62" s="33">
        <f t="shared" ref="D62:AD62" si="17">+D60+D46+D41</f>
        <v>1.374514999999997</v>
      </c>
      <c r="E62" s="33">
        <f t="shared" si="17"/>
        <v>-4.5231240000000072</v>
      </c>
      <c r="F62" s="33">
        <f t="shared" si="17"/>
        <v>1.5774119999999971</v>
      </c>
      <c r="G62" s="33">
        <f t="shared" si="17"/>
        <v>9.704599</v>
      </c>
      <c r="H62" s="33">
        <f t="shared" si="17"/>
        <v>6.7175570000000029</v>
      </c>
      <c r="I62" s="33">
        <f t="shared" si="17"/>
        <v>6.9214800000000061</v>
      </c>
      <c r="J62" s="33">
        <f t="shared" si="17"/>
        <v>24.921048000000006</v>
      </c>
      <c r="K62" s="33">
        <f t="shared" si="17"/>
        <v>-15.365094999999997</v>
      </c>
      <c r="L62" s="33">
        <f t="shared" si="17"/>
        <v>-5.7108109999999996</v>
      </c>
      <c r="M62" s="33">
        <f t="shared" si="17"/>
        <v>23.977854000000001</v>
      </c>
      <c r="N62" s="33">
        <f t="shared" si="17"/>
        <v>4.6936990000000005</v>
      </c>
      <c r="O62" s="33">
        <f t="shared" si="17"/>
        <v>7.5956469999999854</v>
      </c>
      <c r="P62" s="33">
        <f t="shared" si="17"/>
        <v>-13.143910999999999</v>
      </c>
      <c r="Q62" s="33">
        <f t="shared" si="17"/>
        <v>15.521127</v>
      </c>
      <c r="R62" s="33">
        <f t="shared" si="17"/>
        <v>-5.4748979999999978</v>
      </c>
      <c r="S62" s="33">
        <f t="shared" si="17"/>
        <v>-19.925736999999994</v>
      </c>
      <c r="T62" s="33">
        <f t="shared" si="17"/>
        <v>-23.023419000000011</v>
      </c>
      <c r="U62" s="33">
        <f t="shared" si="17"/>
        <v>-0.2998507874999965</v>
      </c>
      <c r="V62" s="33">
        <f t="shared" si="17"/>
        <v>0.67277256000000074</v>
      </c>
      <c r="W62" s="33">
        <f t="shared" si="17"/>
        <v>3.8685664799999975</v>
      </c>
      <c r="X62" s="33">
        <f t="shared" si="17"/>
        <v>5.2181985150000028</v>
      </c>
      <c r="Y62" s="33">
        <f t="shared" si="17"/>
        <v>9.4596867675000134</v>
      </c>
      <c r="Z62" s="33">
        <f t="shared" si="17"/>
        <v>-0.77719229999999717</v>
      </c>
      <c r="AA62" s="33">
        <f t="shared" si="17"/>
        <v>4.5863518049999978</v>
      </c>
      <c r="AB62" s="33">
        <f t="shared" si="17"/>
        <v>10.335865994999995</v>
      </c>
      <c r="AC62" s="33">
        <f t="shared" si="17"/>
        <v>9.1816390800000036</v>
      </c>
      <c r="AD62" s="33">
        <f t="shared" si="17"/>
        <v>23.326664579999996</v>
      </c>
    </row>
    <row r="63" spans="3:30" x14ac:dyDescent="0.2">
      <c r="C63" s="17" t="s">
        <v>142</v>
      </c>
      <c r="D63" s="34">
        <v>0</v>
      </c>
      <c r="E63" s="34">
        <v>0</v>
      </c>
      <c r="F63" s="34">
        <v>0</v>
      </c>
      <c r="G63" s="34">
        <v>0</v>
      </c>
      <c r="H63" s="34">
        <v>0</v>
      </c>
      <c r="I63" s="34">
        <v>0</v>
      </c>
      <c r="J63" s="34">
        <v>0</v>
      </c>
      <c r="K63" s="34">
        <v>0</v>
      </c>
      <c r="L63" s="34">
        <v>0</v>
      </c>
      <c r="M63" s="34">
        <v>0</v>
      </c>
      <c r="N63" s="34">
        <v>0</v>
      </c>
      <c r="O63" s="34">
        <v>0</v>
      </c>
      <c r="P63" s="34">
        <v>0</v>
      </c>
      <c r="Q63" s="34">
        <v>0</v>
      </c>
      <c r="R63" s="34">
        <v>0</v>
      </c>
      <c r="U63" s="34">
        <v>0</v>
      </c>
      <c r="V63" s="34">
        <v>0</v>
      </c>
      <c r="W63" s="34">
        <v>0</v>
      </c>
      <c r="X63" s="34">
        <v>0</v>
      </c>
      <c r="Y63" s="118">
        <f>SUM(U63:X63)</f>
        <v>0</v>
      </c>
      <c r="Z63" s="34">
        <v>0</v>
      </c>
      <c r="AA63" s="34">
        <v>0</v>
      </c>
      <c r="AB63" s="34">
        <v>0</v>
      </c>
      <c r="AC63" s="34">
        <v>0</v>
      </c>
      <c r="AD63" s="118">
        <f>SUM(Z63:AC63)</f>
        <v>0</v>
      </c>
    </row>
    <row r="64" spans="3:30" x14ac:dyDescent="0.2">
      <c r="C64" s="17" t="s">
        <v>143</v>
      </c>
      <c r="D64" s="34">
        <v>7.7549270000000003</v>
      </c>
      <c r="E64" s="39">
        <f>+D65</f>
        <v>9.1294419999999974</v>
      </c>
      <c r="F64" s="39">
        <f t="shared" ref="F64:AC64" si="18">+E65</f>
        <v>4.6063179999999901</v>
      </c>
      <c r="G64" s="39">
        <f t="shared" si="18"/>
        <v>6.1837299999999873</v>
      </c>
      <c r="H64" s="39">
        <f t="shared" si="18"/>
        <v>15.888328999999988</v>
      </c>
      <c r="I64" s="39">
        <f t="shared" si="18"/>
        <v>22.605885999999991</v>
      </c>
      <c r="J64" s="39">
        <f>+E65</f>
        <v>4.6063179999999901</v>
      </c>
      <c r="K64" s="39">
        <f t="shared" si="18"/>
        <v>29.527365999999997</v>
      </c>
      <c r="L64" s="39">
        <f t="shared" si="18"/>
        <v>14.162271</v>
      </c>
      <c r="M64" s="39">
        <f t="shared" si="18"/>
        <v>8.4514600000000009</v>
      </c>
      <c r="N64" s="39">
        <f t="shared" si="18"/>
        <v>32.429314000000005</v>
      </c>
      <c r="O64" s="39">
        <f>+J65</f>
        <v>29.527365999999997</v>
      </c>
      <c r="P64" s="39">
        <f t="shared" si="18"/>
        <v>37.123012999999986</v>
      </c>
      <c r="Q64" s="39">
        <f t="shared" si="18"/>
        <v>23.979101999999987</v>
      </c>
      <c r="R64" s="39">
        <f t="shared" si="18"/>
        <v>39.50022899999999</v>
      </c>
      <c r="S64" s="39">
        <f t="shared" si="18"/>
        <v>34.025330999999994</v>
      </c>
      <c r="T64" s="39">
        <f>+O65</f>
        <v>37.123012999999986</v>
      </c>
      <c r="U64" s="39">
        <f t="shared" si="18"/>
        <v>14.099593999999975</v>
      </c>
      <c r="V64" s="39">
        <f t="shared" si="18"/>
        <v>13.799743212499978</v>
      </c>
      <c r="W64" s="39">
        <f t="shared" si="18"/>
        <v>14.472515772499978</v>
      </c>
      <c r="X64" s="39">
        <f t="shared" si="18"/>
        <v>18.341082252499977</v>
      </c>
      <c r="Y64" s="39">
        <f>+T65</f>
        <v>14.099593999999975</v>
      </c>
      <c r="Z64" s="39">
        <f t="shared" si="18"/>
        <v>23.559280767499988</v>
      </c>
      <c r="AA64" s="39">
        <f t="shared" si="18"/>
        <v>22.782088467499992</v>
      </c>
      <c r="AB64" s="39">
        <f t="shared" si="18"/>
        <v>27.368440272499988</v>
      </c>
      <c r="AC64" s="39">
        <f t="shared" si="18"/>
        <v>37.704306267499987</v>
      </c>
      <c r="AD64" s="39">
        <f>+Y65</f>
        <v>23.559280767499988</v>
      </c>
    </row>
    <row r="65" spans="3:30" x14ac:dyDescent="0.2">
      <c r="C65" s="32" t="s">
        <v>144</v>
      </c>
      <c r="D65" s="33">
        <f>+D62+D63+D64</f>
        <v>9.1294419999999974</v>
      </c>
      <c r="E65" s="33">
        <f>+E62+E63+E64</f>
        <v>4.6063179999999901</v>
      </c>
      <c r="F65" s="33">
        <f t="shared" ref="F65:AD65" si="19">+F62+F63+F64</f>
        <v>6.1837299999999873</v>
      </c>
      <c r="G65" s="33">
        <f t="shared" si="19"/>
        <v>15.888328999999988</v>
      </c>
      <c r="H65" s="33">
        <f t="shared" si="19"/>
        <v>22.605885999999991</v>
      </c>
      <c r="I65" s="33">
        <f t="shared" si="19"/>
        <v>29.527365999999997</v>
      </c>
      <c r="J65" s="33">
        <f t="shared" si="19"/>
        <v>29.527365999999997</v>
      </c>
      <c r="K65" s="33">
        <f t="shared" si="19"/>
        <v>14.162271</v>
      </c>
      <c r="L65" s="33">
        <f t="shared" si="19"/>
        <v>8.4514600000000009</v>
      </c>
      <c r="M65" s="33">
        <f t="shared" si="19"/>
        <v>32.429314000000005</v>
      </c>
      <c r="N65" s="33">
        <f t="shared" si="19"/>
        <v>37.123013000000007</v>
      </c>
      <c r="O65" s="33">
        <f t="shared" si="19"/>
        <v>37.123012999999986</v>
      </c>
      <c r="P65" s="33">
        <f t="shared" si="19"/>
        <v>23.979101999999987</v>
      </c>
      <c r="Q65" s="33">
        <f t="shared" si="19"/>
        <v>39.50022899999999</v>
      </c>
      <c r="R65" s="33">
        <f t="shared" si="19"/>
        <v>34.025330999999994</v>
      </c>
      <c r="S65" s="33">
        <f t="shared" si="19"/>
        <v>14.099594</v>
      </c>
      <c r="T65" s="33">
        <f t="shared" si="19"/>
        <v>14.099593999999975</v>
      </c>
      <c r="U65" s="33">
        <f t="shared" si="19"/>
        <v>13.799743212499978</v>
      </c>
      <c r="V65" s="33">
        <f t="shared" si="19"/>
        <v>14.472515772499978</v>
      </c>
      <c r="W65" s="33">
        <f t="shared" si="19"/>
        <v>18.341082252499977</v>
      </c>
      <c r="X65" s="33">
        <f t="shared" si="19"/>
        <v>23.559280767499978</v>
      </c>
      <c r="Y65" s="33">
        <f t="shared" si="19"/>
        <v>23.559280767499988</v>
      </c>
      <c r="Z65" s="33">
        <f t="shared" si="19"/>
        <v>22.782088467499992</v>
      </c>
      <c r="AA65" s="33">
        <f t="shared" si="19"/>
        <v>27.368440272499988</v>
      </c>
      <c r="AB65" s="33">
        <f t="shared" si="19"/>
        <v>37.704306267499987</v>
      </c>
      <c r="AC65" s="33">
        <f t="shared" si="19"/>
        <v>46.885945347499991</v>
      </c>
      <c r="AD65" s="33">
        <f t="shared" si="19"/>
        <v>46.885945347499984</v>
      </c>
    </row>
    <row r="66" spans="3:30" x14ac:dyDescent="0.2">
      <c r="C66" s="17" t="s">
        <v>165</v>
      </c>
      <c r="D66" s="37"/>
      <c r="E66" s="37"/>
      <c r="F66" s="37"/>
      <c r="G66" s="37"/>
      <c r="H66" s="37"/>
      <c r="I66" s="37"/>
      <c r="J66" s="37"/>
      <c r="K66" s="37"/>
      <c r="L66" s="37"/>
      <c r="M66" s="37"/>
      <c r="N66" s="37"/>
      <c r="O66" s="37"/>
      <c r="P66" s="37"/>
      <c r="Q66" s="37"/>
      <c r="R66" s="37"/>
      <c r="T66" s="76">
        <f>ROUNDDOWN(+T65-14.099593,2)</f>
        <v>0</v>
      </c>
    </row>
    <row r="67" spans="3:30" ht="5.0999999999999996" customHeight="1" x14ac:dyDescent="0.2">
      <c r="D67" s="37"/>
      <c r="E67" s="37"/>
      <c r="F67" s="37"/>
      <c r="G67" s="37"/>
      <c r="H67" s="37"/>
      <c r="I67" s="37"/>
      <c r="J67" s="37"/>
      <c r="K67" s="37"/>
      <c r="L67" s="37"/>
      <c r="M67" s="37"/>
      <c r="N67" s="37"/>
      <c r="O67" s="37"/>
      <c r="P67" s="37"/>
      <c r="Q67" s="37"/>
      <c r="R67" s="37"/>
      <c r="T67" s="76"/>
    </row>
    <row r="68" spans="3:30" x14ac:dyDescent="0.2">
      <c r="C68" s="30" t="s">
        <v>145</v>
      </c>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row>
    <row r="69" spans="3:30" x14ac:dyDescent="0.2">
      <c r="C69" s="17" t="s">
        <v>511</v>
      </c>
      <c r="D69" s="36">
        <v>105.461265</v>
      </c>
      <c r="E69" s="36">
        <v>99.305989999999994</v>
      </c>
      <c r="F69" s="36">
        <v>97.678758000000002</v>
      </c>
      <c r="G69" s="36">
        <v>108.047669</v>
      </c>
      <c r="H69" s="36">
        <v>130.62204800000001</v>
      </c>
      <c r="I69" s="36">
        <v>128.492819</v>
      </c>
      <c r="J69" s="36">
        <v>128.492819</v>
      </c>
      <c r="K69" s="36">
        <v>147.70732899999999</v>
      </c>
      <c r="L69" s="36">
        <v>160.22061299999999</v>
      </c>
      <c r="M69" s="36">
        <v>151.56230500000001</v>
      </c>
      <c r="N69" s="36">
        <v>149.02202299999999</v>
      </c>
      <c r="O69" s="36">
        <v>149.02202299999999</v>
      </c>
      <c r="P69" s="36">
        <v>149.02202299999999</v>
      </c>
      <c r="Q69" s="36">
        <v>143.99017599999999</v>
      </c>
      <c r="R69" s="36">
        <v>149.02202299999999</v>
      </c>
      <c r="S69" s="36">
        <v>203.52811600000001</v>
      </c>
      <c r="T69" s="36">
        <v>203.52811600000001</v>
      </c>
      <c r="U69" s="40">
        <f>+T69+U19+U48+U49</f>
        <v>200.291955</v>
      </c>
      <c r="V69" s="40">
        <f>+U69+V19+V48+V49</f>
        <v>197.05579399999999</v>
      </c>
      <c r="W69" s="40">
        <f>+V69+W19+W48+W49</f>
        <v>193.81963299999998</v>
      </c>
      <c r="X69" s="40">
        <f>+W69+X19+X48+X49</f>
        <v>190.58347199999997</v>
      </c>
      <c r="Y69" s="40">
        <f>+X69</f>
        <v>190.58347199999997</v>
      </c>
      <c r="Z69" s="40">
        <f>+Y69+Z19+Z48+Z49</f>
        <v>187.34731099999996</v>
      </c>
      <c r="AA69" s="40">
        <f>+Z69+AA19+AA48+AA49</f>
        <v>184.11114999999995</v>
      </c>
      <c r="AB69" s="40">
        <f>+AA69+AB19+AB48+AB49</f>
        <v>180.87498899999994</v>
      </c>
      <c r="AC69" s="40">
        <f>+AB69+AC19+AC48+AC49</f>
        <v>177.63882799999993</v>
      </c>
      <c r="AD69" s="40">
        <f>+AC69</f>
        <v>177.63882799999993</v>
      </c>
    </row>
    <row r="70" spans="3:30" x14ac:dyDescent="0.2">
      <c r="C70" s="17" t="s">
        <v>150</v>
      </c>
      <c r="D70" s="36">
        <v>2.65</v>
      </c>
      <c r="E70" s="36">
        <v>2.15</v>
      </c>
      <c r="F70" s="36">
        <v>1.9</v>
      </c>
      <c r="G70" s="36">
        <v>1.9</v>
      </c>
      <c r="H70" s="36">
        <v>1.95</v>
      </c>
      <c r="I70" s="36">
        <v>2.2200000000000002</v>
      </c>
      <c r="J70" s="36">
        <v>2.2200000000000002</v>
      </c>
      <c r="K70" s="36">
        <v>2.3199999999999998</v>
      </c>
      <c r="L70" s="36">
        <v>2.02</v>
      </c>
      <c r="M70" s="36">
        <v>1.885</v>
      </c>
      <c r="N70" s="36">
        <v>1.885</v>
      </c>
      <c r="O70" s="36">
        <v>1.885</v>
      </c>
      <c r="P70" s="36">
        <v>1.885</v>
      </c>
      <c r="Q70" s="36">
        <v>2.1850000000000001</v>
      </c>
      <c r="R70" s="36">
        <v>1.885</v>
      </c>
      <c r="S70" s="36">
        <v>3.3</v>
      </c>
      <c r="T70" s="36">
        <v>3.3</v>
      </c>
      <c r="U70" s="40">
        <v>0</v>
      </c>
      <c r="V70" s="40">
        <v>0</v>
      </c>
      <c r="W70" s="40">
        <v>0</v>
      </c>
      <c r="X70" s="40">
        <v>0</v>
      </c>
      <c r="Y70" s="40">
        <f>+X70</f>
        <v>0</v>
      </c>
      <c r="Z70" s="40">
        <v>0</v>
      </c>
      <c r="AA70" s="40">
        <v>0</v>
      </c>
      <c r="AB70" s="40">
        <v>0</v>
      </c>
      <c r="AC70" s="40">
        <v>0</v>
      </c>
      <c r="AD70" s="40">
        <f>+AC70</f>
        <v>0</v>
      </c>
    </row>
    <row r="71" spans="3:30" x14ac:dyDescent="0.2">
      <c r="C71" s="17" t="s">
        <v>510</v>
      </c>
      <c r="D71" s="36">
        <v>0</v>
      </c>
      <c r="E71" s="36">
        <v>0</v>
      </c>
      <c r="F71" s="36">
        <v>0</v>
      </c>
      <c r="G71" s="36">
        <v>0</v>
      </c>
      <c r="H71" s="36">
        <v>0</v>
      </c>
      <c r="I71" s="36">
        <v>0.21011299999999999</v>
      </c>
      <c r="J71" s="36">
        <v>0.21011299999999999</v>
      </c>
      <c r="K71" s="36">
        <v>0.47681000000000001</v>
      </c>
      <c r="L71" s="36">
        <v>0.64063000000000003</v>
      </c>
      <c r="M71" s="36">
        <v>1.255009</v>
      </c>
      <c r="N71" s="36">
        <v>0.70596999999999999</v>
      </c>
      <c r="O71" s="36">
        <v>0.70596999999999999</v>
      </c>
      <c r="P71" s="36">
        <v>0.70596999999999999</v>
      </c>
      <c r="Q71" s="36">
        <v>0.113854</v>
      </c>
      <c r="R71" s="36">
        <v>0.70596999999999999</v>
      </c>
      <c r="S71" s="36">
        <v>0</v>
      </c>
      <c r="T71" s="36">
        <v>0</v>
      </c>
      <c r="U71" s="40">
        <v>0</v>
      </c>
      <c r="V71" s="40">
        <v>0</v>
      </c>
      <c r="W71" s="40">
        <v>0</v>
      </c>
      <c r="X71" s="40">
        <v>0</v>
      </c>
      <c r="Y71" s="40">
        <f>+X71</f>
        <v>0</v>
      </c>
      <c r="Z71" s="40">
        <v>0</v>
      </c>
      <c r="AA71" s="40">
        <v>0</v>
      </c>
      <c r="AB71" s="40">
        <v>0</v>
      </c>
      <c r="AC71" s="40">
        <v>0</v>
      </c>
      <c r="AD71" s="40">
        <f>+AC71</f>
        <v>0</v>
      </c>
    </row>
    <row r="72" spans="3:30" x14ac:dyDescent="0.2">
      <c r="C72" s="32" t="s">
        <v>156</v>
      </c>
      <c r="D72" s="33">
        <f t="shared" ref="D72:AD72" si="20">+SUM(D69:D71)</f>
        <v>108.111265</v>
      </c>
      <c r="E72" s="33">
        <f t="shared" si="20"/>
        <v>101.45599</v>
      </c>
      <c r="F72" s="33">
        <f t="shared" si="20"/>
        <v>99.578758000000008</v>
      </c>
      <c r="G72" s="33">
        <f t="shared" si="20"/>
        <v>109.947669</v>
      </c>
      <c r="H72" s="33">
        <f t="shared" si="20"/>
        <v>132.572048</v>
      </c>
      <c r="I72" s="33">
        <f t="shared" si="20"/>
        <v>130.922932</v>
      </c>
      <c r="J72" s="33">
        <f t="shared" si="20"/>
        <v>130.922932</v>
      </c>
      <c r="K72" s="33">
        <f t="shared" si="20"/>
        <v>150.50413899999998</v>
      </c>
      <c r="L72" s="33">
        <f t="shared" si="20"/>
        <v>162.88124299999998</v>
      </c>
      <c r="M72" s="33">
        <f t="shared" si="20"/>
        <v>154.702314</v>
      </c>
      <c r="N72" s="33">
        <f t="shared" si="20"/>
        <v>151.61299299999999</v>
      </c>
      <c r="O72" s="33">
        <f t="shared" si="20"/>
        <v>151.61299299999999</v>
      </c>
      <c r="P72" s="33">
        <f t="shared" si="20"/>
        <v>151.61299299999999</v>
      </c>
      <c r="Q72" s="33">
        <f t="shared" si="20"/>
        <v>146.28903</v>
      </c>
      <c r="R72" s="33">
        <f t="shared" si="20"/>
        <v>151.61299299999999</v>
      </c>
      <c r="S72" s="33">
        <f t="shared" si="20"/>
        <v>206.82811600000002</v>
      </c>
      <c r="T72" s="33">
        <f>+SUM(T69:T71)</f>
        <v>206.82811600000002</v>
      </c>
      <c r="U72" s="33">
        <f t="shared" si="20"/>
        <v>200.291955</v>
      </c>
      <c r="V72" s="33">
        <f t="shared" si="20"/>
        <v>197.05579399999999</v>
      </c>
      <c r="W72" s="33">
        <f t="shared" si="20"/>
        <v>193.81963299999998</v>
      </c>
      <c r="X72" s="33">
        <f t="shared" si="20"/>
        <v>190.58347199999997</v>
      </c>
      <c r="Y72" s="33">
        <f t="shared" si="20"/>
        <v>190.58347199999997</v>
      </c>
      <c r="Z72" s="33">
        <f t="shared" si="20"/>
        <v>187.34731099999996</v>
      </c>
      <c r="AA72" s="33">
        <f t="shared" si="20"/>
        <v>184.11114999999995</v>
      </c>
      <c r="AB72" s="33">
        <f t="shared" si="20"/>
        <v>180.87498899999994</v>
      </c>
      <c r="AC72" s="33">
        <f t="shared" si="20"/>
        <v>177.63882799999993</v>
      </c>
      <c r="AD72" s="33">
        <f t="shared" si="20"/>
        <v>177.63882799999993</v>
      </c>
    </row>
    <row r="73" spans="3:30" ht="5.0999999999999996" customHeight="1" x14ac:dyDescent="0.2">
      <c r="D73" s="37"/>
      <c r="E73" s="37"/>
      <c r="F73" s="37"/>
      <c r="G73" s="37"/>
      <c r="H73" s="37"/>
      <c r="I73" s="37"/>
      <c r="J73" s="37"/>
      <c r="K73" s="37"/>
      <c r="L73" s="37"/>
      <c r="M73" s="37"/>
      <c r="N73" s="37"/>
      <c r="O73" s="37"/>
      <c r="P73" s="37"/>
      <c r="Q73" s="37"/>
      <c r="R73" s="37"/>
      <c r="S73" s="37"/>
      <c r="T73" s="37"/>
    </row>
    <row r="74" spans="3:30" x14ac:dyDescent="0.2">
      <c r="C74" s="17" t="s">
        <v>154</v>
      </c>
      <c r="D74" s="36">
        <v>5.3964059999999998</v>
      </c>
      <c r="E74" s="36">
        <v>0.93828199999999995</v>
      </c>
      <c r="F74" s="36">
        <v>2.0854560000000002</v>
      </c>
      <c r="G74" s="36">
        <v>8.4988729999999997</v>
      </c>
      <c r="H74" s="36">
        <v>17.015315999999999</v>
      </c>
      <c r="I74" s="36">
        <v>26.847425999999999</v>
      </c>
      <c r="J74" s="36">
        <v>26.847425999999999</v>
      </c>
      <c r="K74" s="36">
        <v>11.386196999999999</v>
      </c>
      <c r="L74" s="36">
        <v>5.1596109999999999</v>
      </c>
      <c r="M74" s="36">
        <v>29.546558000000001</v>
      </c>
      <c r="N74" s="36">
        <v>34.042149999999999</v>
      </c>
      <c r="O74" s="36">
        <v>34.042149999999999</v>
      </c>
      <c r="P74" s="36">
        <v>34.042149999999999</v>
      </c>
      <c r="Q74" s="36">
        <v>36.669289999999997</v>
      </c>
      <c r="R74" s="36">
        <v>34.042149999999999</v>
      </c>
      <c r="S74" s="36">
        <v>8.0020240000000005</v>
      </c>
      <c r="T74" s="36">
        <v>8.0020240000000005</v>
      </c>
      <c r="U74" s="130">
        <f>+U65</f>
        <v>13.799743212499978</v>
      </c>
      <c r="V74" s="130">
        <f t="shared" ref="V74:AC74" si="21">+V65</f>
        <v>14.472515772499978</v>
      </c>
      <c r="W74" s="130">
        <f t="shared" si="21"/>
        <v>18.341082252499977</v>
      </c>
      <c r="X74" s="130">
        <f t="shared" si="21"/>
        <v>23.559280767499978</v>
      </c>
      <c r="Y74" s="40">
        <f t="shared" ref="Y74:Y82" si="22">+X74</f>
        <v>23.559280767499978</v>
      </c>
      <c r="Z74" s="130">
        <f t="shared" si="21"/>
        <v>22.782088467499992</v>
      </c>
      <c r="AA74" s="130">
        <f t="shared" si="21"/>
        <v>27.368440272499988</v>
      </c>
      <c r="AB74" s="130">
        <f t="shared" si="21"/>
        <v>37.704306267499987</v>
      </c>
      <c r="AC74" s="130">
        <f t="shared" si="21"/>
        <v>46.885945347499991</v>
      </c>
      <c r="AD74" s="40">
        <f t="shared" ref="AD74:AD82" si="23">+AC74</f>
        <v>46.885945347499991</v>
      </c>
    </row>
    <row r="75" spans="3:30" x14ac:dyDescent="0.2">
      <c r="C75" s="17" t="s">
        <v>150</v>
      </c>
      <c r="D75" s="36">
        <v>1.0830360000000001</v>
      </c>
      <c r="E75" s="36">
        <v>1.5180359999999999</v>
      </c>
      <c r="F75" s="36">
        <v>2.1982740000000001</v>
      </c>
      <c r="G75" s="36">
        <v>5.4894559999999997</v>
      </c>
      <c r="H75" s="36">
        <v>3.6405699999999999</v>
      </c>
      <c r="I75" s="36">
        <v>0.45994000000000002</v>
      </c>
      <c r="J75" s="36">
        <v>0.45994000000000002</v>
      </c>
      <c r="K75" s="36">
        <v>0.45607399999999998</v>
      </c>
      <c r="L75" s="36">
        <v>1.271849</v>
      </c>
      <c r="M75" s="36">
        <v>0.99775599999999998</v>
      </c>
      <c r="N75" s="36">
        <v>1.1958629999999999</v>
      </c>
      <c r="O75" s="36">
        <v>1.1958629999999999</v>
      </c>
      <c r="P75" s="36">
        <v>1.1958629999999999</v>
      </c>
      <c r="Q75" s="36">
        <v>0.64593800000000001</v>
      </c>
      <c r="R75" s="36">
        <v>1.1958629999999999</v>
      </c>
      <c r="S75" s="36">
        <v>2.7975690000000002</v>
      </c>
      <c r="T75" s="36">
        <v>2.7975690000000002</v>
      </c>
      <c r="U75" s="40">
        <v>0</v>
      </c>
      <c r="V75" s="40">
        <v>0</v>
      </c>
      <c r="W75" s="40">
        <v>0</v>
      </c>
      <c r="X75" s="40">
        <v>0</v>
      </c>
      <c r="Y75" s="40">
        <f t="shared" si="22"/>
        <v>0</v>
      </c>
      <c r="Z75" s="40">
        <v>0</v>
      </c>
      <c r="AA75" s="40">
        <v>0</v>
      </c>
      <c r="AB75" s="40">
        <v>0</v>
      </c>
      <c r="AC75" s="40">
        <v>0</v>
      </c>
      <c r="AD75" s="40">
        <f t="shared" si="23"/>
        <v>0</v>
      </c>
    </row>
    <row r="76" spans="3:30" x14ac:dyDescent="0.2">
      <c r="C76" s="17" t="s">
        <v>509</v>
      </c>
      <c r="D76" s="36">
        <v>1.843008</v>
      </c>
      <c r="E76" s="36">
        <v>1.5280549999999999</v>
      </c>
      <c r="F76" s="36">
        <v>2.6637520000000001</v>
      </c>
      <c r="G76" s="36">
        <v>2.264151</v>
      </c>
      <c r="H76" s="36">
        <v>1.6571199999999999</v>
      </c>
      <c r="I76" s="36">
        <v>0.77503500000000003</v>
      </c>
      <c r="J76" s="36">
        <v>0.77503500000000003</v>
      </c>
      <c r="K76" s="36">
        <v>2.6611539999999998</v>
      </c>
      <c r="L76" s="36">
        <v>3.1997870000000002</v>
      </c>
      <c r="M76" s="36">
        <v>5.5871829999999996</v>
      </c>
      <c r="N76" s="36">
        <v>7.1478330000000003</v>
      </c>
      <c r="O76" s="36">
        <v>7.1478330000000003</v>
      </c>
      <c r="P76" s="36">
        <v>7.1478330000000003</v>
      </c>
      <c r="Q76" s="36">
        <v>3.5484059999999999</v>
      </c>
      <c r="R76" s="36">
        <v>7.1478330000000003</v>
      </c>
      <c r="S76" s="36">
        <v>6.7406059999999997</v>
      </c>
      <c r="T76" s="36">
        <v>6.7406059999999997</v>
      </c>
      <c r="U76" s="130">
        <f t="shared" ref="U76:X78" si="24">+$T76</f>
        <v>6.7406059999999997</v>
      </c>
      <c r="V76" s="130">
        <f t="shared" si="24"/>
        <v>6.7406059999999997</v>
      </c>
      <c r="W76" s="130">
        <f t="shared" si="24"/>
        <v>6.7406059999999997</v>
      </c>
      <c r="X76" s="130">
        <f t="shared" si="24"/>
        <v>6.7406059999999997</v>
      </c>
      <c r="Y76" s="40">
        <f t="shared" si="22"/>
        <v>6.7406059999999997</v>
      </c>
      <c r="Z76" s="130">
        <f t="shared" ref="Z76:AC78" si="25">+$T76</f>
        <v>6.7406059999999997</v>
      </c>
      <c r="AA76" s="130">
        <f t="shared" si="25"/>
        <v>6.7406059999999997</v>
      </c>
      <c r="AB76" s="130">
        <f t="shared" si="25"/>
        <v>6.7406059999999997</v>
      </c>
      <c r="AC76" s="130">
        <f t="shared" si="25"/>
        <v>6.7406059999999997</v>
      </c>
      <c r="AD76" s="40">
        <f t="shared" si="23"/>
        <v>6.7406059999999997</v>
      </c>
    </row>
    <row r="77" spans="3:30" x14ac:dyDescent="0.2">
      <c r="C77" s="17" t="s">
        <v>268</v>
      </c>
      <c r="D77" s="36">
        <v>0.459785</v>
      </c>
      <c r="E77" s="36">
        <v>0.46020899999999998</v>
      </c>
      <c r="F77" s="36">
        <v>0.53731300000000004</v>
      </c>
      <c r="G77" s="36">
        <v>0.70467500000000005</v>
      </c>
      <c r="H77" s="36">
        <v>0.94653299999999996</v>
      </c>
      <c r="I77" s="36">
        <v>1.2428030000000001</v>
      </c>
      <c r="J77" s="36">
        <v>1.2428030000000001</v>
      </c>
      <c r="K77" s="36">
        <v>0.92173000000000005</v>
      </c>
      <c r="L77" s="36">
        <v>0.78388899999999995</v>
      </c>
      <c r="M77" s="36">
        <v>0.45690199999999997</v>
      </c>
      <c r="N77" s="36">
        <v>0.34606599999999998</v>
      </c>
      <c r="O77" s="36">
        <v>0.34606599999999998</v>
      </c>
      <c r="P77" s="36">
        <v>0.34606599999999998</v>
      </c>
      <c r="Q77" s="36">
        <v>3.3568410000000002</v>
      </c>
      <c r="R77" s="36">
        <v>0.34606599999999998</v>
      </c>
      <c r="S77" s="36">
        <v>2.1272660000000001</v>
      </c>
      <c r="T77" s="36">
        <v>2.1272660000000001</v>
      </c>
      <c r="U77" s="130">
        <f t="shared" si="24"/>
        <v>2.1272660000000001</v>
      </c>
      <c r="V77" s="130">
        <f t="shared" si="24"/>
        <v>2.1272660000000001</v>
      </c>
      <c r="W77" s="130">
        <f t="shared" si="24"/>
        <v>2.1272660000000001</v>
      </c>
      <c r="X77" s="130">
        <f t="shared" si="24"/>
        <v>2.1272660000000001</v>
      </c>
      <c r="Y77" s="40">
        <f t="shared" si="22"/>
        <v>2.1272660000000001</v>
      </c>
      <c r="Z77" s="130">
        <f t="shared" si="25"/>
        <v>2.1272660000000001</v>
      </c>
      <c r="AA77" s="130">
        <f t="shared" si="25"/>
        <v>2.1272660000000001</v>
      </c>
      <c r="AB77" s="130">
        <f t="shared" si="25"/>
        <v>2.1272660000000001</v>
      </c>
      <c r="AC77" s="130">
        <f t="shared" si="25"/>
        <v>2.1272660000000001</v>
      </c>
      <c r="AD77" s="40">
        <f t="shared" si="23"/>
        <v>2.1272660000000001</v>
      </c>
    </row>
    <row r="78" spans="3:30" x14ac:dyDescent="0.2">
      <c r="C78" s="17" t="s">
        <v>490</v>
      </c>
      <c r="D78" s="36">
        <v>0.28671099999999999</v>
      </c>
      <c r="E78" s="36">
        <v>0.22603300000000001</v>
      </c>
      <c r="F78" s="36">
        <v>0.173037</v>
      </c>
      <c r="G78" s="36">
        <v>0.111746</v>
      </c>
      <c r="H78" s="36">
        <v>0.107991</v>
      </c>
      <c r="I78" s="36">
        <v>0.31439699999999998</v>
      </c>
      <c r="J78" s="36">
        <v>0.31439699999999998</v>
      </c>
      <c r="K78" s="36">
        <v>0.27800799999999998</v>
      </c>
      <c r="L78" s="36">
        <v>0.234015</v>
      </c>
      <c r="M78" s="36">
        <v>0.286688</v>
      </c>
      <c r="N78" s="36">
        <v>0.249024</v>
      </c>
      <c r="O78" s="36">
        <v>0.249024</v>
      </c>
      <c r="P78" s="36">
        <v>0.249024</v>
      </c>
      <c r="Q78" s="36">
        <v>0.20003399999999999</v>
      </c>
      <c r="R78" s="36">
        <v>0.249024</v>
      </c>
      <c r="S78" s="36">
        <v>0.24338000000000001</v>
      </c>
      <c r="T78" s="36">
        <v>0.24338000000000001</v>
      </c>
      <c r="U78" s="130">
        <f t="shared" si="24"/>
        <v>0.24338000000000001</v>
      </c>
      <c r="V78" s="130">
        <f t="shared" si="24"/>
        <v>0.24338000000000001</v>
      </c>
      <c r="W78" s="130">
        <f t="shared" si="24"/>
        <v>0.24338000000000001</v>
      </c>
      <c r="X78" s="130">
        <f t="shared" si="24"/>
        <v>0.24338000000000001</v>
      </c>
      <c r="Y78" s="40">
        <f t="shared" si="22"/>
        <v>0.24338000000000001</v>
      </c>
      <c r="Z78" s="130">
        <f t="shared" si="25"/>
        <v>0.24338000000000001</v>
      </c>
      <c r="AA78" s="130">
        <f t="shared" si="25"/>
        <v>0.24338000000000001</v>
      </c>
      <c r="AB78" s="130">
        <f t="shared" si="25"/>
        <v>0.24338000000000001</v>
      </c>
      <c r="AC78" s="130">
        <f t="shared" si="25"/>
        <v>0.24338000000000001</v>
      </c>
      <c r="AD78" s="40">
        <f t="shared" si="23"/>
        <v>0.24338000000000001</v>
      </c>
    </row>
    <row r="79" spans="3:30" x14ac:dyDescent="0.2">
      <c r="C79" s="17" t="s">
        <v>491</v>
      </c>
      <c r="D79" s="36">
        <v>0</v>
      </c>
      <c r="E79" s="36">
        <v>0</v>
      </c>
      <c r="F79" s="36">
        <v>0.38739299999999999</v>
      </c>
      <c r="G79" s="36">
        <v>0.21026800000000001</v>
      </c>
      <c r="H79" s="36">
        <v>0</v>
      </c>
      <c r="I79" s="36">
        <v>0</v>
      </c>
      <c r="J79" s="36">
        <v>0</v>
      </c>
      <c r="K79" s="36">
        <v>0.75305100000000003</v>
      </c>
      <c r="L79" s="36">
        <v>1.9238919999999999</v>
      </c>
      <c r="M79" s="36">
        <v>0</v>
      </c>
      <c r="N79" s="36">
        <v>2.4161800000000002</v>
      </c>
      <c r="O79" s="36">
        <v>2.4161800000000002</v>
      </c>
      <c r="P79" s="36">
        <v>2.4161800000000002</v>
      </c>
      <c r="Q79" s="36">
        <v>0.56835100000000005</v>
      </c>
      <c r="R79" s="36">
        <v>2.4161800000000002</v>
      </c>
      <c r="S79" s="36">
        <v>0</v>
      </c>
      <c r="T79" s="36">
        <v>0</v>
      </c>
      <c r="U79" s="40">
        <v>0</v>
      </c>
      <c r="V79" s="40">
        <v>0</v>
      </c>
      <c r="W79" s="40">
        <v>0</v>
      </c>
      <c r="X79" s="40">
        <v>0</v>
      </c>
      <c r="Y79" s="40">
        <f t="shared" si="22"/>
        <v>0</v>
      </c>
      <c r="Z79" s="40">
        <v>0</v>
      </c>
      <c r="AA79" s="40">
        <v>0</v>
      </c>
      <c r="AB79" s="40">
        <v>0</v>
      </c>
      <c r="AC79" s="40">
        <v>0</v>
      </c>
      <c r="AD79" s="40">
        <f t="shared" si="23"/>
        <v>0</v>
      </c>
    </row>
    <row r="80" spans="3:30" x14ac:dyDescent="0.2">
      <c r="C80" s="17" t="s">
        <v>115</v>
      </c>
      <c r="D80" s="36">
        <v>0.50871100000000002</v>
      </c>
      <c r="E80" s="36">
        <v>1.3852800000000001</v>
      </c>
      <c r="F80" s="36">
        <v>0.48727999999999999</v>
      </c>
      <c r="G80" s="36">
        <v>0.73616599999999999</v>
      </c>
      <c r="H80" s="36">
        <v>0.78495800000000004</v>
      </c>
      <c r="I80" s="36">
        <v>0.77034199999999997</v>
      </c>
      <c r="J80" s="36">
        <v>0.77034199999999997</v>
      </c>
      <c r="K80" s="36">
        <v>1.7390460000000001</v>
      </c>
      <c r="L80" s="36">
        <v>0.79616600000000004</v>
      </c>
      <c r="M80" s="36">
        <v>2.82077</v>
      </c>
      <c r="N80" s="36">
        <v>1.057652</v>
      </c>
      <c r="O80" s="36">
        <v>1.057652</v>
      </c>
      <c r="P80" s="36">
        <v>1.057652</v>
      </c>
      <c r="Q80" s="36">
        <v>1.0751329999999999</v>
      </c>
      <c r="R80" s="36">
        <v>1.057652</v>
      </c>
      <c r="S80" s="36">
        <v>4.1176630000000003</v>
      </c>
      <c r="T80" s="36">
        <v>4.1176630000000003</v>
      </c>
      <c r="U80" s="130">
        <f t="shared" ref="U80:X81" si="26">+$T80</f>
        <v>4.1176630000000003</v>
      </c>
      <c r="V80" s="130">
        <f t="shared" si="26"/>
        <v>4.1176630000000003</v>
      </c>
      <c r="W80" s="130">
        <f t="shared" si="26"/>
        <v>4.1176630000000003</v>
      </c>
      <c r="X80" s="130">
        <f t="shared" si="26"/>
        <v>4.1176630000000003</v>
      </c>
      <c r="Y80" s="40">
        <f t="shared" si="22"/>
        <v>4.1176630000000003</v>
      </c>
      <c r="Z80" s="130">
        <f t="shared" ref="Z80:AC81" si="27">+$T80</f>
        <v>4.1176630000000003</v>
      </c>
      <c r="AA80" s="130">
        <f t="shared" si="27"/>
        <v>4.1176630000000003</v>
      </c>
      <c r="AB80" s="130">
        <f t="shared" si="27"/>
        <v>4.1176630000000003</v>
      </c>
      <c r="AC80" s="130">
        <f t="shared" si="27"/>
        <v>4.1176630000000003</v>
      </c>
      <c r="AD80" s="40">
        <f t="shared" si="23"/>
        <v>4.1176630000000003</v>
      </c>
    </row>
    <row r="81" spans="3:30" x14ac:dyDescent="0.2">
      <c r="C81" s="17" t="s">
        <v>510</v>
      </c>
      <c r="D81" s="36">
        <v>0</v>
      </c>
      <c r="E81" s="36">
        <v>0</v>
      </c>
      <c r="F81" s="36">
        <v>0</v>
      </c>
      <c r="G81" s="36">
        <v>0</v>
      </c>
      <c r="H81" s="36">
        <v>0</v>
      </c>
      <c r="I81" s="36">
        <v>0</v>
      </c>
      <c r="J81" s="36">
        <v>0</v>
      </c>
      <c r="K81" s="36">
        <v>0.44206200000000001</v>
      </c>
      <c r="L81" s="36">
        <v>0.94920099999999996</v>
      </c>
      <c r="M81" s="36">
        <v>0.83019900000000002</v>
      </c>
      <c r="N81" s="36">
        <v>1.437398</v>
      </c>
      <c r="O81" s="36">
        <v>1.437398</v>
      </c>
      <c r="P81" s="36">
        <v>1.437398</v>
      </c>
      <c r="Q81" s="36">
        <v>0.22223899999999999</v>
      </c>
      <c r="R81" s="36">
        <v>1.437398</v>
      </c>
      <c r="S81" s="36">
        <v>0.196627</v>
      </c>
      <c r="T81" s="36">
        <v>0.196627</v>
      </c>
      <c r="U81" s="130">
        <f t="shared" si="26"/>
        <v>0.196627</v>
      </c>
      <c r="V81" s="130">
        <f t="shared" si="26"/>
        <v>0.196627</v>
      </c>
      <c r="W81" s="130">
        <f t="shared" si="26"/>
        <v>0.196627</v>
      </c>
      <c r="X81" s="130">
        <f t="shared" si="26"/>
        <v>0.196627</v>
      </c>
      <c r="Y81" s="40">
        <f t="shared" si="22"/>
        <v>0.196627</v>
      </c>
      <c r="Z81" s="130">
        <f t="shared" si="27"/>
        <v>0.196627</v>
      </c>
      <c r="AA81" s="130">
        <f t="shared" si="27"/>
        <v>0.196627</v>
      </c>
      <c r="AB81" s="130">
        <f t="shared" si="27"/>
        <v>0.196627</v>
      </c>
      <c r="AC81" s="130">
        <f t="shared" si="27"/>
        <v>0.196627</v>
      </c>
      <c r="AD81" s="40">
        <f t="shared" si="23"/>
        <v>0.196627</v>
      </c>
    </row>
    <row r="82" spans="3:30" x14ac:dyDescent="0.2">
      <c r="C82" s="17" t="s">
        <v>419</v>
      </c>
      <c r="D82" s="36">
        <v>0</v>
      </c>
      <c r="E82" s="36">
        <v>0</v>
      </c>
      <c r="F82" s="36">
        <v>0</v>
      </c>
      <c r="G82" s="36">
        <v>0</v>
      </c>
      <c r="H82" s="36">
        <v>0</v>
      </c>
      <c r="I82" s="36">
        <v>0</v>
      </c>
      <c r="J82" s="36">
        <v>0</v>
      </c>
      <c r="K82" s="36">
        <v>0</v>
      </c>
      <c r="L82" s="36">
        <v>0</v>
      </c>
      <c r="M82" s="36">
        <v>6.6177149999999996</v>
      </c>
      <c r="N82" s="36">
        <v>0</v>
      </c>
      <c r="O82" s="36">
        <v>0</v>
      </c>
      <c r="P82" s="36">
        <v>0</v>
      </c>
      <c r="Q82" s="36">
        <v>0</v>
      </c>
      <c r="R82" s="36">
        <v>0</v>
      </c>
      <c r="S82" s="36">
        <v>0</v>
      </c>
      <c r="T82" s="36">
        <v>0</v>
      </c>
      <c r="U82" s="40">
        <v>0</v>
      </c>
      <c r="V82" s="40">
        <v>0</v>
      </c>
      <c r="W82" s="40">
        <v>0</v>
      </c>
      <c r="X82" s="40">
        <v>0</v>
      </c>
      <c r="Y82" s="40">
        <f t="shared" si="22"/>
        <v>0</v>
      </c>
      <c r="Z82" s="40">
        <v>0</v>
      </c>
      <c r="AA82" s="40">
        <v>0</v>
      </c>
      <c r="AB82" s="40">
        <v>0</v>
      </c>
      <c r="AC82" s="40">
        <v>0</v>
      </c>
      <c r="AD82" s="40">
        <f t="shared" si="23"/>
        <v>0</v>
      </c>
    </row>
    <row r="83" spans="3:30" x14ac:dyDescent="0.2">
      <c r="C83" s="32" t="s">
        <v>155</v>
      </c>
      <c r="D83" s="33">
        <f>SUM(D74:D82)</f>
        <v>9.5776570000000003</v>
      </c>
      <c r="E83" s="33">
        <f t="shared" ref="E83:AD83" si="28">SUM(E74:E82)</f>
        <v>6.0558949999999996</v>
      </c>
      <c r="F83" s="33">
        <f t="shared" si="28"/>
        <v>8.5325050000000005</v>
      </c>
      <c r="G83" s="33">
        <f t="shared" si="28"/>
        <v>18.015335</v>
      </c>
      <c r="H83" s="33">
        <f t="shared" si="28"/>
        <v>24.152487999999995</v>
      </c>
      <c r="I83" s="33">
        <f t="shared" si="28"/>
        <v>30.409942999999995</v>
      </c>
      <c r="J83" s="33">
        <f t="shared" si="28"/>
        <v>30.409942999999995</v>
      </c>
      <c r="K83" s="33">
        <f t="shared" si="28"/>
        <v>18.637321999999998</v>
      </c>
      <c r="L83" s="33">
        <f t="shared" si="28"/>
        <v>14.31841</v>
      </c>
      <c r="M83" s="33">
        <f t="shared" si="28"/>
        <v>47.143770999999994</v>
      </c>
      <c r="N83" s="33">
        <f t="shared" si="28"/>
        <v>47.892165999999996</v>
      </c>
      <c r="O83" s="33">
        <f t="shared" si="28"/>
        <v>47.892165999999996</v>
      </c>
      <c r="P83" s="33">
        <f t="shared" si="28"/>
        <v>47.892165999999996</v>
      </c>
      <c r="Q83" s="33">
        <f t="shared" si="28"/>
        <v>46.286232000000005</v>
      </c>
      <c r="R83" s="33">
        <f t="shared" si="28"/>
        <v>47.892165999999996</v>
      </c>
      <c r="S83" s="33">
        <f t="shared" si="28"/>
        <v>24.225134999999998</v>
      </c>
      <c r="T83" s="33">
        <f>SUM(T74:T82)</f>
        <v>24.225134999999998</v>
      </c>
      <c r="U83" s="33">
        <f t="shared" si="28"/>
        <v>27.225285212499973</v>
      </c>
      <c r="V83" s="33">
        <f t="shared" si="28"/>
        <v>27.898057772499975</v>
      </c>
      <c r="W83" s="33">
        <f t="shared" si="28"/>
        <v>31.766624252499973</v>
      </c>
      <c r="X83" s="33">
        <f t="shared" si="28"/>
        <v>36.984822767499978</v>
      </c>
      <c r="Y83" s="33">
        <f t="shared" si="28"/>
        <v>36.984822767499978</v>
      </c>
      <c r="Z83" s="33">
        <f t="shared" si="28"/>
        <v>36.207630467499989</v>
      </c>
      <c r="AA83" s="33">
        <f t="shared" si="28"/>
        <v>40.793982272499989</v>
      </c>
      <c r="AB83" s="33">
        <f t="shared" si="28"/>
        <v>51.129848267499987</v>
      </c>
      <c r="AC83" s="33">
        <f t="shared" si="28"/>
        <v>60.311487347499991</v>
      </c>
      <c r="AD83" s="33">
        <f t="shared" si="28"/>
        <v>60.311487347499991</v>
      </c>
    </row>
    <row r="84" spans="3:30" ht="5.0999999999999996" customHeight="1" x14ac:dyDescent="0.2">
      <c r="D84" s="37"/>
      <c r="E84" s="37"/>
      <c r="F84" s="37"/>
      <c r="G84" s="37"/>
      <c r="H84" s="37"/>
      <c r="I84" s="37"/>
      <c r="J84" s="37"/>
      <c r="K84" s="37"/>
      <c r="L84" s="37"/>
      <c r="M84" s="37"/>
      <c r="N84" s="37"/>
      <c r="O84" s="37"/>
      <c r="P84" s="37"/>
      <c r="Q84" s="37"/>
      <c r="R84" s="37"/>
      <c r="S84" s="37"/>
      <c r="T84" s="37"/>
    </row>
    <row r="85" spans="3:30" x14ac:dyDescent="0.2">
      <c r="C85" s="17" t="s">
        <v>512</v>
      </c>
      <c r="D85" s="34">
        <v>49.688839999999999</v>
      </c>
      <c r="E85" s="34">
        <v>37.318083999999999</v>
      </c>
      <c r="F85" s="34">
        <v>41.588509000000002</v>
      </c>
      <c r="G85" s="34">
        <v>40.398902</v>
      </c>
      <c r="H85" s="34">
        <v>61.807377000000002</v>
      </c>
      <c r="I85" s="34">
        <v>64.702946999999995</v>
      </c>
      <c r="J85" s="34">
        <v>64.702946999999995</v>
      </c>
      <c r="K85" s="34">
        <v>61.965515000000003</v>
      </c>
      <c r="L85" s="34">
        <v>48.123176000000001</v>
      </c>
      <c r="M85" s="34">
        <v>60.702154999999998</v>
      </c>
      <c r="N85" s="34">
        <v>58.360168999999999</v>
      </c>
      <c r="O85" s="34">
        <v>58.360168999999999</v>
      </c>
      <c r="P85" s="34">
        <v>58.360168999999999</v>
      </c>
      <c r="Q85" s="34">
        <v>66.621713999999997</v>
      </c>
      <c r="R85" s="34">
        <v>58.360168999999999</v>
      </c>
      <c r="S85" s="34">
        <v>86.123063000000002</v>
      </c>
      <c r="T85" s="34">
        <v>86.123063000000002</v>
      </c>
      <c r="U85" s="40">
        <f>+T85+T89+U59</f>
        <v>101.19917599999999</v>
      </c>
      <c r="V85" s="40">
        <f>+U85+U89+V59</f>
        <v>98.470735999999988</v>
      </c>
      <c r="W85" s="40">
        <f>+V85+V89+W59</f>
        <v>95.742295999999982</v>
      </c>
      <c r="X85" s="40">
        <f>+W85+W89+X59</f>
        <v>93.013855999999976</v>
      </c>
      <c r="Y85" s="40">
        <f>+X85</f>
        <v>93.013855999999976</v>
      </c>
      <c r="Z85" s="40">
        <f>+Y85+Y89+Z59</f>
        <v>90.285415999999969</v>
      </c>
      <c r="AA85" s="40">
        <f>+Z85+Z89+AA59</f>
        <v>87.556975999999963</v>
      </c>
      <c r="AB85" s="40">
        <f>+AA85+AA89+AB59</f>
        <v>84.828535999999957</v>
      </c>
      <c r="AC85" s="40">
        <f>+AB85+AB89+AC59</f>
        <v>82.100095999999951</v>
      </c>
      <c r="AD85" s="40">
        <f>+AC85</f>
        <v>82.100095999999951</v>
      </c>
    </row>
    <row r="86" spans="3:30" x14ac:dyDescent="0.2">
      <c r="C86" s="17" t="s">
        <v>510</v>
      </c>
      <c r="D86" s="34">
        <v>0.304174</v>
      </c>
      <c r="E86" s="34">
        <v>0.393899</v>
      </c>
      <c r="F86" s="34">
        <v>0.128191</v>
      </c>
      <c r="G86" s="34">
        <v>5.7327000000000003E-2</v>
      </c>
      <c r="H86" s="34">
        <v>1.4938E-2</v>
      </c>
      <c r="I86" s="34">
        <v>0</v>
      </c>
      <c r="J86" s="34">
        <v>0</v>
      </c>
      <c r="K86" s="34">
        <v>0</v>
      </c>
      <c r="L86" s="34">
        <v>0</v>
      </c>
      <c r="M86" s="34">
        <v>0</v>
      </c>
      <c r="N86" s="34">
        <v>0</v>
      </c>
      <c r="O86" s="34">
        <v>0</v>
      </c>
      <c r="P86" s="34">
        <v>0</v>
      </c>
      <c r="Q86" s="34">
        <v>0</v>
      </c>
      <c r="R86" s="34">
        <v>0</v>
      </c>
      <c r="S86" s="34">
        <v>1.7769E-2</v>
      </c>
      <c r="T86" s="34">
        <v>1.7769E-2</v>
      </c>
      <c r="U86" s="130">
        <f>+$T86</f>
        <v>1.7769E-2</v>
      </c>
      <c r="V86" s="130">
        <f>+$T86</f>
        <v>1.7769E-2</v>
      </c>
      <c r="W86" s="130">
        <f>+$T86</f>
        <v>1.7769E-2</v>
      </c>
      <c r="X86" s="130">
        <f>+$T86</f>
        <v>1.7769E-2</v>
      </c>
      <c r="Y86" s="40">
        <f>+X86</f>
        <v>1.7769E-2</v>
      </c>
      <c r="Z86" s="130">
        <f>+$T86</f>
        <v>1.7769E-2</v>
      </c>
      <c r="AA86" s="130">
        <f>+$T86</f>
        <v>1.7769E-2</v>
      </c>
      <c r="AB86" s="130">
        <f>+$T86</f>
        <v>1.7769E-2</v>
      </c>
      <c r="AC86" s="130">
        <f>+$T86</f>
        <v>1.7769E-2</v>
      </c>
      <c r="AD86" s="40">
        <f>+AC86</f>
        <v>1.7769E-2</v>
      </c>
    </row>
    <row r="87" spans="3:30" x14ac:dyDescent="0.2">
      <c r="C87" s="32" t="s">
        <v>160</v>
      </c>
      <c r="D87" s="33">
        <f t="shared" ref="D87:AD87" si="29">SUM(D85:D86)</f>
        <v>49.993014000000002</v>
      </c>
      <c r="E87" s="33">
        <f t="shared" si="29"/>
        <v>37.711982999999996</v>
      </c>
      <c r="F87" s="33">
        <f t="shared" si="29"/>
        <v>41.716700000000003</v>
      </c>
      <c r="G87" s="33">
        <f t="shared" si="29"/>
        <v>40.456229</v>
      </c>
      <c r="H87" s="33">
        <f t="shared" si="29"/>
        <v>61.822315000000003</v>
      </c>
      <c r="I87" s="33">
        <f t="shared" si="29"/>
        <v>64.702946999999995</v>
      </c>
      <c r="J87" s="33">
        <f t="shared" si="29"/>
        <v>64.702946999999995</v>
      </c>
      <c r="K87" s="33">
        <f t="shared" si="29"/>
        <v>61.965515000000003</v>
      </c>
      <c r="L87" s="33">
        <f t="shared" si="29"/>
        <v>48.123176000000001</v>
      </c>
      <c r="M87" s="33">
        <f t="shared" si="29"/>
        <v>60.702154999999998</v>
      </c>
      <c r="N87" s="33">
        <f t="shared" si="29"/>
        <v>58.360168999999999</v>
      </c>
      <c r="O87" s="33">
        <f t="shared" si="29"/>
        <v>58.360168999999999</v>
      </c>
      <c r="P87" s="33">
        <f t="shared" si="29"/>
        <v>58.360168999999999</v>
      </c>
      <c r="Q87" s="33">
        <f t="shared" si="29"/>
        <v>66.621713999999997</v>
      </c>
      <c r="R87" s="33">
        <f t="shared" si="29"/>
        <v>58.360168999999999</v>
      </c>
      <c r="S87" s="33">
        <f t="shared" si="29"/>
        <v>86.140832000000003</v>
      </c>
      <c r="T87" s="33">
        <f>SUM(T85:T86)</f>
        <v>86.140832000000003</v>
      </c>
      <c r="U87" s="33">
        <f t="shared" si="29"/>
        <v>101.216945</v>
      </c>
      <c r="V87" s="33">
        <f t="shared" si="29"/>
        <v>98.488504999999989</v>
      </c>
      <c r="W87" s="33">
        <f t="shared" si="29"/>
        <v>95.760064999999983</v>
      </c>
      <c r="X87" s="33">
        <f t="shared" si="29"/>
        <v>93.031624999999977</v>
      </c>
      <c r="Y87" s="33">
        <f t="shared" si="29"/>
        <v>93.031624999999977</v>
      </c>
      <c r="Z87" s="33">
        <f t="shared" si="29"/>
        <v>90.303184999999971</v>
      </c>
      <c r="AA87" s="33">
        <f t="shared" si="29"/>
        <v>87.574744999999965</v>
      </c>
      <c r="AB87" s="33">
        <f t="shared" si="29"/>
        <v>84.846304999999958</v>
      </c>
      <c r="AC87" s="33">
        <f t="shared" si="29"/>
        <v>82.117864999999952</v>
      </c>
      <c r="AD87" s="33">
        <f t="shared" si="29"/>
        <v>82.117864999999952</v>
      </c>
    </row>
    <row r="88" spans="3:30" ht="5.0999999999999996" customHeight="1" x14ac:dyDescent="0.2">
      <c r="D88" s="37"/>
      <c r="E88" s="37"/>
      <c r="F88" s="37"/>
      <c r="G88" s="37"/>
      <c r="H88" s="37"/>
      <c r="I88" s="37"/>
      <c r="J88" s="37"/>
      <c r="K88" s="37"/>
      <c r="L88" s="37"/>
      <c r="M88" s="37"/>
      <c r="N88" s="37"/>
      <c r="O88" s="37"/>
      <c r="P88" s="37"/>
      <c r="Q88" s="37"/>
      <c r="R88" s="37"/>
      <c r="S88" s="37"/>
      <c r="T88" s="37"/>
    </row>
    <row r="89" spans="3:30" x14ac:dyDescent="0.2">
      <c r="C89" s="17" t="s">
        <v>513</v>
      </c>
      <c r="D89" s="34">
        <v>6.8062940000000003</v>
      </c>
      <c r="E89" s="34">
        <v>13.793754</v>
      </c>
      <c r="F89" s="34">
        <v>14.100581</v>
      </c>
      <c r="G89" s="34">
        <v>18.437009</v>
      </c>
      <c r="H89" s="34">
        <v>11.395227</v>
      </c>
      <c r="I89" s="34">
        <v>13.949719999999999</v>
      </c>
      <c r="J89" s="34">
        <v>13.949719999999999</v>
      </c>
      <c r="K89" s="34">
        <v>12.949719999999999</v>
      </c>
      <c r="L89" s="34">
        <v>23.054627</v>
      </c>
      <c r="M89" s="34">
        <v>26.588217</v>
      </c>
      <c r="N89" s="34">
        <v>22.858087000000001</v>
      </c>
      <c r="O89" s="34">
        <v>22.858087000000001</v>
      </c>
      <c r="P89" s="34">
        <v>22.858087000000001</v>
      </c>
      <c r="Q89" s="34">
        <v>10.7464</v>
      </c>
      <c r="R89" s="34">
        <v>22.858087000000001</v>
      </c>
      <c r="S89" s="34">
        <v>17.804552999999999</v>
      </c>
      <c r="T89" s="34">
        <v>17.804552999999999</v>
      </c>
      <c r="U89" s="40">
        <v>0</v>
      </c>
      <c r="V89" s="40">
        <v>0</v>
      </c>
      <c r="W89" s="40">
        <v>0</v>
      </c>
      <c r="X89" s="40">
        <v>0</v>
      </c>
      <c r="Y89" s="40">
        <f>+X89</f>
        <v>0</v>
      </c>
      <c r="Z89" s="40">
        <v>0</v>
      </c>
      <c r="AA89" s="40">
        <v>0</v>
      </c>
      <c r="AB89" s="40">
        <v>0</v>
      </c>
      <c r="AC89" s="40">
        <v>0</v>
      </c>
      <c r="AD89" s="40">
        <f t="shared" ref="AD89:AD95" si="30">+AC89</f>
        <v>0</v>
      </c>
    </row>
    <row r="90" spans="3:30" x14ac:dyDescent="0.2">
      <c r="C90" s="17" t="s">
        <v>492</v>
      </c>
      <c r="D90" s="34">
        <v>1.0465610000000001</v>
      </c>
      <c r="E90" s="34">
        <v>1.0745180000000001</v>
      </c>
      <c r="F90" s="34">
        <v>0.90715500000000004</v>
      </c>
      <c r="G90" s="34">
        <v>1.0672630000000001</v>
      </c>
      <c r="H90" s="34">
        <v>0.99972499999999997</v>
      </c>
      <c r="I90" s="34">
        <v>0.85582499999999995</v>
      </c>
      <c r="J90" s="34">
        <v>0.85582499999999995</v>
      </c>
      <c r="K90" s="34">
        <v>1.9099060000000001</v>
      </c>
      <c r="L90" s="34">
        <v>1.432615</v>
      </c>
      <c r="M90" s="34">
        <v>2.013026</v>
      </c>
      <c r="N90" s="34">
        <v>2.9894310000000002</v>
      </c>
      <c r="O90" s="34">
        <v>2.9894310000000002</v>
      </c>
      <c r="P90" s="34">
        <v>2.9894310000000002</v>
      </c>
      <c r="Q90" s="34">
        <v>1.7087129999999999</v>
      </c>
      <c r="R90" s="34">
        <v>2.9894310000000002</v>
      </c>
      <c r="S90" s="34">
        <v>3.1469309999999999</v>
      </c>
      <c r="T90" s="34">
        <v>3.1469309999999999</v>
      </c>
      <c r="U90" s="130">
        <f t="shared" ref="U90:X91" si="31">+$T90</f>
        <v>3.1469309999999999</v>
      </c>
      <c r="V90" s="130">
        <f t="shared" si="31"/>
        <v>3.1469309999999999</v>
      </c>
      <c r="W90" s="130">
        <f t="shared" si="31"/>
        <v>3.1469309999999999</v>
      </c>
      <c r="X90" s="130">
        <f t="shared" si="31"/>
        <v>3.1469309999999999</v>
      </c>
      <c r="Y90" s="40">
        <f t="shared" ref="Y90:Y95" si="32">+X90</f>
        <v>3.1469309999999999</v>
      </c>
      <c r="Z90" s="130">
        <f t="shared" ref="Z90:AC91" si="33">+$T90</f>
        <v>3.1469309999999999</v>
      </c>
      <c r="AA90" s="130">
        <f t="shared" si="33"/>
        <v>3.1469309999999999</v>
      </c>
      <c r="AB90" s="130">
        <f t="shared" si="33"/>
        <v>3.1469309999999999</v>
      </c>
      <c r="AC90" s="130">
        <f t="shared" si="33"/>
        <v>3.1469309999999999</v>
      </c>
      <c r="AD90" s="40">
        <f t="shared" si="30"/>
        <v>3.1469309999999999</v>
      </c>
    </row>
    <row r="91" spans="3:30" x14ac:dyDescent="0.2">
      <c r="C91" s="17" t="s">
        <v>117</v>
      </c>
      <c r="D91" s="34">
        <v>0.96442300000000003</v>
      </c>
      <c r="E91" s="34">
        <v>0.70450800000000002</v>
      </c>
      <c r="F91" s="34">
        <v>0.71936299999999997</v>
      </c>
      <c r="G91" s="34">
        <v>0.84213000000000005</v>
      </c>
      <c r="H91" s="34">
        <v>0.98107999999999995</v>
      </c>
      <c r="I91" s="34">
        <v>0.85244200000000003</v>
      </c>
      <c r="J91" s="34">
        <v>0.85244200000000003</v>
      </c>
      <c r="K91" s="34">
        <v>0.87034500000000004</v>
      </c>
      <c r="L91" s="34">
        <v>0.74946199999999996</v>
      </c>
      <c r="M91" s="34">
        <v>3.0203319999999998</v>
      </c>
      <c r="N91" s="34">
        <v>1.0047189999999999</v>
      </c>
      <c r="O91" s="34">
        <v>1.0047189999999999</v>
      </c>
      <c r="P91" s="34">
        <v>1.0047189999999999</v>
      </c>
      <c r="Q91" s="34">
        <v>2.1285780000000001</v>
      </c>
      <c r="R91" s="34">
        <v>1.0047189999999999</v>
      </c>
      <c r="S91" s="34">
        <v>2.3206060000000002</v>
      </c>
      <c r="T91" s="34">
        <v>2.3206060000000002</v>
      </c>
      <c r="U91" s="130">
        <f t="shared" si="31"/>
        <v>2.3206060000000002</v>
      </c>
      <c r="V91" s="130">
        <f t="shared" si="31"/>
        <v>2.3206060000000002</v>
      </c>
      <c r="W91" s="130">
        <f t="shared" si="31"/>
        <v>2.3206060000000002</v>
      </c>
      <c r="X91" s="130">
        <f t="shared" si="31"/>
        <v>2.3206060000000002</v>
      </c>
      <c r="Y91" s="40">
        <f t="shared" si="32"/>
        <v>2.3206060000000002</v>
      </c>
      <c r="Z91" s="130">
        <f t="shared" si="33"/>
        <v>2.3206060000000002</v>
      </c>
      <c r="AA91" s="130">
        <f t="shared" si="33"/>
        <v>2.3206060000000002</v>
      </c>
      <c r="AB91" s="130">
        <f t="shared" si="33"/>
        <v>2.3206060000000002</v>
      </c>
      <c r="AC91" s="130">
        <f t="shared" si="33"/>
        <v>2.3206060000000002</v>
      </c>
      <c r="AD91" s="40">
        <f t="shared" si="30"/>
        <v>2.3206060000000002</v>
      </c>
    </row>
    <row r="92" spans="3:30" x14ac:dyDescent="0.2">
      <c r="C92" s="17" t="s">
        <v>514</v>
      </c>
      <c r="D92" s="34">
        <v>0.35872599999999999</v>
      </c>
      <c r="E92" s="34">
        <v>0</v>
      </c>
      <c r="F92" s="34">
        <v>0.29957</v>
      </c>
      <c r="G92" s="34">
        <v>0.57092500000000002</v>
      </c>
      <c r="H92" s="34">
        <v>0.274337</v>
      </c>
      <c r="I92" s="34">
        <v>0</v>
      </c>
      <c r="J92" s="34">
        <v>0</v>
      </c>
      <c r="K92" s="34">
        <v>0</v>
      </c>
      <c r="L92" s="34">
        <v>0</v>
      </c>
      <c r="M92" s="34">
        <v>0</v>
      </c>
      <c r="N92" s="34">
        <v>0</v>
      </c>
      <c r="O92" s="34">
        <v>0</v>
      </c>
      <c r="P92" s="34">
        <v>0</v>
      </c>
      <c r="Q92" s="34">
        <v>0</v>
      </c>
      <c r="R92" s="34">
        <v>0</v>
      </c>
      <c r="S92" s="34">
        <v>0</v>
      </c>
      <c r="T92" s="34">
        <v>0</v>
      </c>
      <c r="U92" s="40">
        <v>0</v>
      </c>
      <c r="V92" s="40">
        <v>0</v>
      </c>
      <c r="W92" s="40">
        <v>0</v>
      </c>
      <c r="X92" s="40">
        <v>0</v>
      </c>
      <c r="Y92" s="40">
        <f t="shared" si="32"/>
        <v>0</v>
      </c>
      <c r="Z92" s="40">
        <v>0</v>
      </c>
      <c r="AA92" s="40">
        <v>0</v>
      </c>
      <c r="AB92" s="40">
        <v>0</v>
      </c>
      <c r="AC92" s="40">
        <v>0</v>
      </c>
      <c r="AD92" s="40">
        <f t="shared" si="30"/>
        <v>0</v>
      </c>
    </row>
    <row r="93" spans="3:30" x14ac:dyDescent="0.2">
      <c r="C93" s="17" t="s">
        <v>510</v>
      </c>
      <c r="D93" s="34">
        <v>0</v>
      </c>
      <c r="E93" s="34">
        <v>0.45613300000000001</v>
      </c>
      <c r="F93" s="34">
        <v>1.543641</v>
      </c>
      <c r="G93" s="34">
        <v>4.641356</v>
      </c>
      <c r="H93" s="34">
        <v>3.0244849999999999</v>
      </c>
      <c r="I93" s="34">
        <v>0.28943000000000002</v>
      </c>
      <c r="J93" s="34">
        <v>0.28943000000000002</v>
      </c>
      <c r="K93" s="34">
        <v>0</v>
      </c>
      <c r="L93" s="34">
        <v>0</v>
      </c>
      <c r="M93" s="34">
        <v>0</v>
      </c>
      <c r="N93" s="34">
        <v>0</v>
      </c>
      <c r="O93" s="34">
        <v>0</v>
      </c>
      <c r="P93" s="34">
        <v>0</v>
      </c>
      <c r="Q93" s="34">
        <v>0</v>
      </c>
      <c r="R93" s="34">
        <v>0</v>
      </c>
      <c r="S93" s="34">
        <v>1.28772</v>
      </c>
      <c r="T93" s="34">
        <v>1.28772</v>
      </c>
      <c r="U93" s="130">
        <f t="shared" ref="U93:X95" si="34">+$T93</f>
        <v>1.28772</v>
      </c>
      <c r="V93" s="130">
        <f t="shared" si="34"/>
        <v>1.28772</v>
      </c>
      <c r="W93" s="130">
        <f t="shared" si="34"/>
        <v>1.28772</v>
      </c>
      <c r="X93" s="130">
        <f t="shared" si="34"/>
        <v>1.28772</v>
      </c>
      <c r="Y93" s="40">
        <f t="shared" si="32"/>
        <v>1.28772</v>
      </c>
      <c r="Z93" s="130">
        <f t="shared" ref="Z93:AC95" si="35">+$T93</f>
        <v>1.28772</v>
      </c>
      <c r="AA93" s="130">
        <f t="shared" si="35"/>
        <v>1.28772</v>
      </c>
      <c r="AB93" s="130">
        <f t="shared" si="35"/>
        <v>1.28772</v>
      </c>
      <c r="AC93" s="130">
        <f t="shared" si="35"/>
        <v>1.28772</v>
      </c>
      <c r="AD93" s="40">
        <f t="shared" si="30"/>
        <v>1.28772</v>
      </c>
    </row>
    <row r="94" spans="3:30" x14ac:dyDescent="0.2">
      <c r="C94" s="17" t="s">
        <v>493</v>
      </c>
      <c r="D94" s="34">
        <v>0.445824</v>
      </c>
      <c r="E94" s="34">
        <v>0.24612500000000001</v>
      </c>
      <c r="F94" s="34">
        <v>0.66550399999999998</v>
      </c>
      <c r="G94" s="34">
        <v>1.1976800000000001</v>
      </c>
      <c r="H94" s="34">
        <v>1.9459360000000001</v>
      </c>
      <c r="I94" s="34">
        <v>1.514543</v>
      </c>
      <c r="J94" s="34">
        <v>1.514543</v>
      </c>
      <c r="K94" s="34">
        <v>1.845982</v>
      </c>
      <c r="L94" s="34">
        <v>0.75288299999999997</v>
      </c>
      <c r="M94" s="34">
        <v>1.4026650000000001</v>
      </c>
      <c r="N94" s="34">
        <v>0.351636</v>
      </c>
      <c r="O94" s="34">
        <v>0.351636</v>
      </c>
      <c r="P94" s="34">
        <v>0.351636</v>
      </c>
      <c r="Q94" s="34">
        <v>0.68571800000000005</v>
      </c>
      <c r="R94" s="34">
        <v>0.351636</v>
      </c>
      <c r="S94" s="34">
        <v>0.34683799999999998</v>
      </c>
      <c r="T94" s="34">
        <v>0.34683799999999998</v>
      </c>
      <c r="U94" s="130">
        <f t="shared" si="34"/>
        <v>0.34683799999999998</v>
      </c>
      <c r="V94" s="130">
        <f t="shared" si="34"/>
        <v>0.34683799999999998</v>
      </c>
      <c r="W94" s="130">
        <f t="shared" si="34"/>
        <v>0.34683799999999998</v>
      </c>
      <c r="X94" s="130">
        <f t="shared" si="34"/>
        <v>0.34683799999999998</v>
      </c>
      <c r="Y94" s="40">
        <f t="shared" si="32"/>
        <v>0.34683799999999998</v>
      </c>
      <c r="Z94" s="130">
        <f t="shared" si="35"/>
        <v>0.34683799999999998</v>
      </c>
      <c r="AA94" s="130">
        <f t="shared" si="35"/>
        <v>0.34683799999999998</v>
      </c>
      <c r="AB94" s="130">
        <f t="shared" si="35"/>
        <v>0.34683799999999998</v>
      </c>
      <c r="AC94" s="130">
        <f t="shared" si="35"/>
        <v>0.34683799999999998</v>
      </c>
      <c r="AD94" s="40">
        <f t="shared" si="30"/>
        <v>0.34683799999999998</v>
      </c>
    </row>
    <row r="95" spans="3:30" x14ac:dyDescent="0.2">
      <c r="C95" s="17" t="s">
        <v>515</v>
      </c>
      <c r="D95" s="34">
        <v>1.54721</v>
      </c>
      <c r="E95" s="34">
        <v>2.9847589999999999</v>
      </c>
      <c r="F95" s="34">
        <v>0</v>
      </c>
      <c r="G95" s="34">
        <v>2.7</v>
      </c>
      <c r="H95" s="34">
        <v>0.25322099999999997</v>
      </c>
      <c r="I95" s="34">
        <v>0.244587</v>
      </c>
      <c r="J95" s="34">
        <v>0.244587</v>
      </c>
      <c r="K95" s="34">
        <v>0</v>
      </c>
      <c r="L95" s="34">
        <v>0</v>
      </c>
      <c r="M95" s="34">
        <v>0.15484800000000001</v>
      </c>
      <c r="N95" s="34">
        <v>0</v>
      </c>
      <c r="O95" s="34">
        <v>0</v>
      </c>
      <c r="P95" s="34">
        <v>0</v>
      </c>
      <c r="Q95" s="34">
        <v>0</v>
      </c>
      <c r="R95" s="34">
        <v>0</v>
      </c>
      <c r="S95" s="34">
        <v>0.577542</v>
      </c>
      <c r="T95" s="34">
        <v>0.577542</v>
      </c>
      <c r="U95" s="130">
        <f t="shared" si="34"/>
        <v>0.577542</v>
      </c>
      <c r="V95" s="130">
        <f t="shared" si="34"/>
        <v>0.577542</v>
      </c>
      <c r="W95" s="130">
        <f t="shared" si="34"/>
        <v>0.577542</v>
      </c>
      <c r="X95" s="130">
        <f t="shared" si="34"/>
        <v>0.577542</v>
      </c>
      <c r="Y95" s="40">
        <f t="shared" si="32"/>
        <v>0.577542</v>
      </c>
      <c r="Z95" s="130">
        <f t="shared" si="35"/>
        <v>0.577542</v>
      </c>
      <c r="AA95" s="130">
        <f t="shared" si="35"/>
        <v>0.577542</v>
      </c>
      <c r="AB95" s="130">
        <f t="shared" si="35"/>
        <v>0.577542</v>
      </c>
      <c r="AC95" s="130">
        <f t="shared" si="35"/>
        <v>0.577542</v>
      </c>
      <c r="AD95" s="40">
        <f t="shared" si="30"/>
        <v>0.577542</v>
      </c>
    </row>
    <row r="96" spans="3:30" x14ac:dyDescent="0.2">
      <c r="C96" s="32" t="s">
        <v>163</v>
      </c>
      <c r="D96" s="33">
        <f>SUM(D89:D95)</f>
        <v>11.169038</v>
      </c>
      <c r="E96" s="33">
        <f t="shared" ref="E96:AD96" si="36">SUM(E89:E95)</f>
        <v>19.259796999999999</v>
      </c>
      <c r="F96" s="33">
        <f t="shared" si="36"/>
        <v>18.235813999999998</v>
      </c>
      <c r="G96" s="33">
        <f t="shared" si="36"/>
        <v>29.456363</v>
      </c>
      <c r="H96" s="33">
        <f t="shared" si="36"/>
        <v>18.874010999999999</v>
      </c>
      <c r="I96" s="33">
        <f t="shared" si="36"/>
        <v>17.706546999999997</v>
      </c>
      <c r="J96" s="33">
        <f t="shared" si="36"/>
        <v>17.706546999999997</v>
      </c>
      <c r="K96" s="33">
        <f t="shared" si="36"/>
        <v>17.575952999999998</v>
      </c>
      <c r="L96" s="33">
        <f t="shared" si="36"/>
        <v>25.989587</v>
      </c>
      <c r="M96" s="33">
        <f t="shared" si="36"/>
        <v>33.179088</v>
      </c>
      <c r="N96" s="33">
        <f t="shared" si="36"/>
        <v>27.203873000000002</v>
      </c>
      <c r="O96" s="33">
        <f t="shared" si="36"/>
        <v>27.203873000000002</v>
      </c>
      <c r="P96" s="33">
        <f t="shared" si="36"/>
        <v>27.203873000000002</v>
      </c>
      <c r="Q96" s="33">
        <f t="shared" si="36"/>
        <v>15.269408999999998</v>
      </c>
      <c r="R96" s="33">
        <f t="shared" si="36"/>
        <v>27.203873000000002</v>
      </c>
      <c r="S96" s="33">
        <f t="shared" si="36"/>
        <v>25.484189999999998</v>
      </c>
      <c r="T96" s="33">
        <f>SUM(T89:T95)</f>
        <v>25.484189999999998</v>
      </c>
      <c r="U96" s="33">
        <f t="shared" si="36"/>
        <v>7.6796370000000005</v>
      </c>
      <c r="V96" s="33">
        <f t="shared" si="36"/>
        <v>7.6796370000000005</v>
      </c>
      <c r="W96" s="33">
        <f t="shared" si="36"/>
        <v>7.6796370000000005</v>
      </c>
      <c r="X96" s="33">
        <f t="shared" si="36"/>
        <v>7.6796370000000005</v>
      </c>
      <c r="Y96" s="33">
        <f t="shared" si="36"/>
        <v>7.6796370000000005</v>
      </c>
      <c r="Z96" s="33">
        <f t="shared" si="36"/>
        <v>7.6796370000000005</v>
      </c>
      <c r="AA96" s="33">
        <f t="shared" si="36"/>
        <v>7.6796370000000005</v>
      </c>
      <c r="AB96" s="33">
        <f t="shared" si="36"/>
        <v>7.6796370000000005</v>
      </c>
      <c r="AC96" s="33">
        <f t="shared" si="36"/>
        <v>7.6796370000000005</v>
      </c>
      <c r="AD96" s="33">
        <f t="shared" si="36"/>
        <v>7.6796370000000005</v>
      </c>
    </row>
    <row r="97" spans="3:36" ht="5.0999999999999996" customHeight="1" x14ac:dyDescent="0.2">
      <c r="D97" s="37"/>
      <c r="E97" s="37"/>
      <c r="F97" s="37"/>
      <c r="G97" s="37"/>
      <c r="H97" s="37"/>
      <c r="I97" s="37"/>
      <c r="J97" s="37"/>
      <c r="K97" s="37"/>
      <c r="L97" s="37"/>
      <c r="M97" s="37"/>
      <c r="N97" s="37"/>
      <c r="O97" s="37"/>
      <c r="P97" s="37"/>
      <c r="Q97" s="37"/>
      <c r="R97" s="37"/>
      <c r="S97" s="37"/>
      <c r="T97" s="37"/>
    </row>
    <row r="98" spans="3:36" ht="15" customHeight="1" x14ac:dyDescent="0.2">
      <c r="C98" s="17" t="s">
        <v>701</v>
      </c>
      <c r="D98" s="34"/>
      <c r="E98" s="34"/>
      <c r="F98" s="34"/>
      <c r="G98" s="34"/>
      <c r="H98" s="34"/>
      <c r="I98" s="34"/>
      <c r="J98" s="34"/>
      <c r="K98" s="34"/>
      <c r="L98" s="34"/>
      <c r="M98" s="34"/>
      <c r="N98" s="34"/>
      <c r="O98" s="34"/>
      <c r="P98" s="34"/>
      <c r="Q98" s="34"/>
      <c r="R98" s="34"/>
      <c r="S98" s="34">
        <v>9.7659319999999994</v>
      </c>
      <c r="T98" s="34">
        <v>9.7659319999999994</v>
      </c>
      <c r="U98" s="130">
        <f>+$T98</f>
        <v>9.7659319999999994</v>
      </c>
      <c r="V98" s="130">
        <f>+$T98</f>
        <v>9.7659319999999994</v>
      </c>
      <c r="W98" s="130">
        <f>+$T98</f>
        <v>9.7659319999999994</v>
      </c>
      <c r="X98" s="130">
        <f>+$T98</f>
        <v>9.7659319999999994</v>
      </c>
      <c r="Y98" s="76">
        <f>+X98</f>
        <v>9.7659319999999994</v>
      </c>
      <c r="Z98" s="130">
        <f>+$T98</f>
        <v>9.7659319999999994</v>
      </c>
      <c r="AA98" s="130">
        <f>+$T98</f>
        <v>9.7659319999999994</v>
      </c>
      <c r="AB98" s="130">
        <f>+$T98</f>
        <v>9.7659319999999994</v>
      </c>
      <c r="AC98" s="130">
        <f>+$T98</f>
        <v>9.7659319999999994</v>
      </c>
      <c r="AD98" s="76">
        <f>+AC98</f>
        <v>9.7659319999999994</v>
      </c>
    </row>
    <row r="99" spans="3:36" x14ac:dyDescent="0.2">
      <c r="C99" s="32" t="s">
        <v>164</v>
      </c>
      <c r="D99" s="41">
        <v>56.526870000000002</v>
      </c>
      <c r="E99" s="41">
        <v>50.540105000000004</v>
      </c>
      <c r="F99" s="41">
        <v>48.158749</v>
      </c>
      <c r="G99" s="41">
        <v>58.050412000000001</v>
      </c>
      <c r="H99" s="41">
        <v>76.028210000000001</v>
      </c>
      <c r="I99" s="41">
        <v>78.923381000000006</v>
      </c>
      <c r="J99" s="41">
        <v>78.923381000000006</v>
      </c>
      <c r="K99" s="41">
        <v>89.599992999999998</v>
      </c>
      <c r="L99" s="41">
        <v>103.08689</v>
      </c>
      <c r="M99" s="41">
        <v>107.964842</v>
      </c>
      <c r="N99" s="41">
        <v>113.94111700000001</v>
      </c>
      <c r="O99" s="41">
        <v>113.94111700000001</v>
      </c>
      <c r="P99" s="41">
        <v>113.94111700000001</v>
      </c>
      <c r="Q99" s="41">
        <v>110.684139</v>
      </c>
      <c r="R99" s="41">
        <v>113.94111700000001</v>
      </c>
      <c r="S99" s="41">
        <v>109.662297</v>
      </c>
      <c r="T99" s="41">
        <v>109.662297</v>
      </c>
      <c r="U99" s="41">
        <f>+T99+U29+U51</f>
        <v>108.8547252125</v>
      </c>
      <c r="V99" s="41">
        <f>+U99+V29+V51</f>
        <v>109.01977677249999</v>
      </c>
      <c r="W99" s="41">
        <f>+V99+W29+W51</f>
        <v>112.38062225249999</v>
      </c>
      <c r="X99" s="41">
        <f>+W99+X29+X51</f>
        <v>117.0910997675</v>
      </c>
      <c r="Y99" s="41">
        <f>+X99</f>
        <v>117.0910997675</v>
      </c>
      <c r="Z99" s="41">
        <f>+Y99+Z29+Z51</f>
        <v>115.8061864675</v>
      </c>
      <c r="AA99" s="41">
        <f>+Z99+AA29+AA51</f>
        <v>119.8848172725</v>
      </c>
      <c r="AB99" s="41">
        <f>+AA99+AB29+AB51</f>
        <v>129.71296226749999</v>
      </c>
      <c r="AC99" s="41">
        <f>+AB99+AC29+AC51</f>
        <v>138.38688034749998</v>
      </c>
      <c r="AD99" s="41">
        <f>+AC99</f>
        <v>138.38688034749998</v>
      </c>
    </row>
    <row r="100" spans="3:36" x14ac:dyDescent="0.2">
      <c r="C100" s="17" t="s">
        <v>165</v>
      </c>
      <c r="D100" s="37">
        <f t="shared" ref="D100:R100" si="37">ROUNDDOWN(+D72+D83-D87-D96-D99-D98,2)</f>
        <v>0</v>
      </c>
      <c r="E100" s="37">
        <f t="shared" si="37"/>
        <v>0</v>
      </c>
      <c r="F100" s="37">
        <f t="shared" si="37"/>
        <v>0</v>
      </c>
      <c r="G100" s="37">
        <f t="shared" si="37"/>
        <v>0</v>
      </c>
      <c r="H100" s="37">
        <f t="shared" si="37"/>
        <v>0</v>
      </c>
      <c r="I100" s="37">
        <f t="shared" si="37"/>
        <v>0</v>
      </c>
      <c r="J100" s="37">
        <f t="shared" si="37"/>
        <v>0</v>
      </c>
      <c r="K100" s="37">
        <f t="shared" si="37"/>
        <v>0</v>
      </c>
      <c r="L100" s="37">
        <f t="shared" si="37"/>
        <v>0</v>
      </c>
      <c r="M100" s="37">
        <f t="shared" si="37"/>
        <v>0</v>
      </c>
      <c r="N100" s="37">
        <f t="shared" si="37"/>
        <v>0</v>
      </c>
      <c r="O100" s="37">
        <f t="shared" si="37"/>
        <v>0</v>
      </c>
      <c r="P100" s="37">
        <f t="shared" si="37"/>
        <v>0</v>
      </c>
      <c r="Q100" s="37">
        <f t="shared" si="37"/>
        <v>0</v>
      </c>
      <c r="R100" s="37">
        <f t="shared" si="37"/>
        <v>0</v>
      </c>
      <c r="S100" s="37">
        <f>ROUNDDOWN(+S72+S83-S87-S96-S99-S98,2)</f>
        <v>0</v>
      </c>
      <c r="T100" s="37">
        <f>ROUNDDOWN(+T72+T83-T87-T96-T99-T98,2)</f>
        <v>0</v>
      </c>
      <c r="U100" s="37">
        <f>ROUNDDOWN(+U72+U83-U87-U96-U99-U98,2)</f>
        <v>0</v>
      </c>
      <c r="V100" s="37">
        <f t="shared" ref="V100:AD100" si="38">ROUNDDOWN(+V72+V83-V87-V96-V99-V98,2)</f>
        <v>0</v>
      </c>
      <c r="W100" s="37">
        <f t="shared" si="38"/>
        <v>0</v>
      </c>
      <c r="X100" s="37">
        <f t="shared" si="38"/>
        <v>0</v>
      </c>
      <c r="Y100" s="37">
        <f t="shared" si="38"/>
        <v>0</v>
      </c>
      <c r="Z100" s="37">
        <f t="shared" si="38"/>
        <v>0</v>
      </c>
      <c r="AA100" s="37">
        <f t="shared" si="38"/>
        <v>0</v>
      </c>
      <c r="AB100" s="37">
        <f t="shared" si="38"/>
        <v>0</v>
      </c>
      <c r="AC100" s="37">
        <f t="shared" si="38"/>
        <v>0</v>
      </c>
      <c r="AD100" s="37">
        <f t="shared" si="38"/>
        <v>0</v>
      </c>
    </row>
    <row r="101" spans="3:36" ht="5.0999999999999996" customHeight="1" x14ac:dyDescent="0.2">
      <c r="D101" s="37"/>
      <c r="E101" s="37"/>
      <c r="F101" s="37"/>
      <c r="G101" s="37"/>
      <c r="H101" s="37"/>
      <c r="I101" s="37"/>
      <c r="J101" s="37"/>
      <c r="K101" s="37"/>
      <c r="L101" s="37"/>
      <c r="M101" s="37"/>
      <c r="N101" s="37"/>
      <c r="O101" s="37"/>
      <c r="P101" s="37"/>
      <c r="Q101" s="37"/>
      <c r="R101" s="37"/>
    </row>
    <row r="102" spans="3:36" x14ac:dyDescent="0.2">
      <c r="C102" s="30" t="s">
        <v>166</v>
      </c>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row>
    <row r="103" spans="3:36" x14ac:dyDescent="0.2">
      <c r="C103" s="17" t="s">
        <v>93</v>
      </c>
      <c r="D103" s="38">
        <f t="shared" ref="D103:T103" si="39">+D29/D104</f>
        <v>-0.85196578721431193</v>
      </c>
      <c r="E103" s="38">
        <f t="shared" si="39"/>
        <v>-3.2753986484763962</v>
      </c>
      <c r="F103" s="38">
        <f t="shared" si="39"/>
        <v>0.19174369133194014</v>
      </c>
      <c r="G103" s="38">
        <f t="shared" si="39"/>
        <v>0.81076315430003076</v>
      </c>
      <c r="H103" s="38">
        <f t="shared" si="39"/>
        <v>4.4070018062038923</v>
      </c>
      <c r="I103" s="38">
        <f t="shared" si="39"/>
        <v>5.3228789752875683</v>
      </c>
      <c r="J103" s="38">
        <f t="shared" si="39"/>
        <v>10.282175695462229</v>
      </c>
      <c r="K103" s="38">
        <f t="shared" si="39"/>
        <v>3.6447877292636477</v>
      </c>
      <c r="L103" s="38">
        <f t="shared" si="39"/>
        <v>3.6088209092549834</v>
      </c>
      <c r="M103" s="38">
        <f t="shared" si="39"/>
        <v>2.1023365106183776</v>
      </c>
      <c r="N103" s="38">
        <f t="shared" si="39"/>
        <v>2.196910705705343</v>
      </c>
      <c r="O103" s="38">
        <f t="shared" si="39"/>
        <v>11.755857571287423</v>
      </c>
      <c r="P103" s="38">
        <f t="shared" si="39"/>
        <v>-0.54952303723552443</v>
      </c>
      <c r="Q103" s="38">
        <f t="shared" si="39"/>
        <v>-0.42888589017312184</v>
      </c>
      <c r="R103" s="38">
        <f t="shared" si="39"/>
        <v>-0.19290590726004517</v>
      </c>
      <c r="S103" s="38">
        <f t="shared" si="39"/>
        <v>0.12594917565749117</v>
      </c>
      <c r="T103" s="38">
        <f t="shared" si="39"/>
        <v>-1.0536888489632152</v>
      </c>
      <c r="U103" s="38"/>
      <c r="V103" s="38"/>
      <c r="W103" s="38"/>
      <c r="X103" s="38"/>
      <c r="Y103" s="38"/>
      <c r="Z103" s="38"/>
      <c r="AA103" s="38"/>
      <c r="AB103" s="38"/>
      <c r="AC103" s="38"/>
      <c r="AD103" s="38"/>
    </row>
    <row r="104" spans="3:36" s="20" customFormat="1" x14ac:dyDescent="0.2">
      <c r="C104" s="17" t="s">
        <v>95</v>
      </c>
      <c r="D104" s="34">
        <v>2.251439</v>
      </c>
      <c r="E104" s="34">
        <v>2.2750620000000001</v>
      </c>
      <c r="F104" s="34">
        <v>2.3205770000000001</v>
      </c>
      <c r="G104" s="34">
        <v>2.401192</v>
      </c>
      <c r="H104" s="34">
        <v>2.675224</v>
      </c>
      <c r="I104" s="34">
        <v>2.8595730000000001</v>
      </c>
      <c r="J104" s="34">
        <v>2.8595730000000001</v>
      </c>
      <c r="K104" s="34">
        <v>2.8794360000000001</v>
      </c>
      <c r="L104" s="34">
        <v>2.942123</v>
      </c>
      <c r="M104" s="34">
        <v>2.9309090000000002</v>
      </c>
      <c r="N104" s="34">
        <v>2.8532730000000002</v>
      </c>
      <c r="O104" s="34">
        <v>2.8532730000000002</v>
      </c>
      <c r="P104" s="34">
        <v>2.8030490000000001</v>
      </c>
      <c r="Q104" s="34">
        <v>2.7611819999999998</v>
      </c>
      <c r="R104" s="34">
        <v>2.758013</v>
      </c>
      <c r="S104" s="34">
        <v>2.7606850000000001</v>
      </c>
      <c r="T104" s="34">
        <v>2.7606850000000001</v>
      </c>
      <c r="U104" s="34"/>
      <c r="V104" s="34"/>
      <c r="W104" s="34"/>
      <c r="X104" s="34"/>
      <c r="Y104" s="34"/>
      <c r="Z104" s="34"/>
      <c r="AA104" s="34"/>
      <c r="AB104" s="34"/>
      <c r="AC104" s="34"/>
      <c r="AD104" s="34"/>
      <c r="AI104" s="21"/>
      <c r="AJ104" s="21"/>
    </row>
    <row r="105" spans="3:36" s="20" customFormat="1" ht="5.0999999999999996" customHeight="1" x14ac:dyDescent="0.2">
      <c r="C105" s="17"/>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I105" s="21"/>
      <c r="AJ105" s="21"/>
    </row>
    <row r="106" spans="3:36" s="20" customFormat="1" x14ac:dyDescent="0.2">
      <c r="C106" s="42" t="s">
        <v>172</v>
      </c>
      <c r="D106" s="37">
        <f>+D85+D86+D93+D95</f>
        <v>51.540224000000002</v>
      </c>
      <c r="E106" s="37">
        <f t="shared" ref="E106:AD106" si="40">+E85+E86+E93+E95</f>
        <v>41.152874999999995</v>
      </c>
      <c r="F106" s="37">
        <f t="shared" si="40"/>
        <v>43.260341000000004</v>
      </c>
      <c r="G106" s="37">
        <f t="shared" si="40"/>
        <v>47.797585000000005</v>
      </c>
      <c r="H106" s="37">
        <f t="shared" si="40"/>
        <v>65.100020999999998</v>
      </c>
      <c r="I106" s="37">
        <f t="shared" si="40"/>
        <v>65.236963999999986</v>
      </c>
      <c r="J106" s="37">
        <f t="shared" si="40"/>
        <v>65.236963999999986</v>
      </c>
      <c r="K106" s="37">
        <f t="shared" si="40"/>
        <v>61.965515000000003</v>
      </c>
      <c r="L106" s="37">
        <f t="shared" si="40"/>
        <v>48.123176000000001</v>
      </c>
      <c r="M106" s="37">
        <f t="shared" si="40"/>
        <v>60.857002999999999</v>
      </c>
      <c r="N106" s="37">
        <f t="shared" si="40"/>
        <v>58.360168999999999</v>
      </c>
      <c r="O106" s="37">
        <f t="shared" si="40"/>
        <v>58.360168999999999</v>
      </c>
      <c r="P106" s="37">
        <f t="shared" si="40"/>
        <v>58.360168999999999</v>
      </c>
      <c r="Q106" s="37">
        <f t="shared" si="40"/>
        <v>66.621713999999997</v>
      </c>
      <c r="R106" s="37">
        <f t="shared" si="40"/>
        <v>58.360168999999999</v>
      </c>
      <c r="S106" s="37">
        <f t="shared" si="40"/>
        <v>88.00609399999999</v>
      </c>
      <c r="T106" s="37">
        <f t="shared" si="40"/>
        <v>88.00609399999999</v>
      </c>
      <c r="U106" s="37">
        <f t="shared" si="40"/>
        <v>103.08220699999998</v>
      </c>
      <c r="V106" s="37">
        <f t="shared" si="40"/>
        <v>100.35376699999998</v>
      </c>
      <c r="W106" s="37">
        <f t="shared" si="40"/>
        <v>97.62532699999997</v>
      </c>
      <c r="X106" s="37">
        <f t="shared" si="40"/>
        <v>94.896886999999964</v>
      </c>
      <c r="Y106" s="37">
        <f t="shared" si="40"/>
        <v>94.896886999999964</v>
      </c>
      <c r="Z106" s="37">
        <f t="shared" si="40"/>
        <v>92.168446999999958</v>
      </c>
      <c r="AA106" s="37">
        <f t="shared" si="40"/>
        <v>89.440006999999952</v>
      </c>
      <c r="AB106" s="37">
        <f t="shared" si="40"/>
        <v>86.711566999999945</v>
      </c>
      <c r="AC106" s="37">
        <f t="shared" si="40"/>
        <v>83.983126999999939</v>
      </c>
      <c r="AD106" s="37">
        <f t="shared" si="40"/>
        <v>83.983126999999939</v>
      </c>
      <c r="AI106" s="21"/>
      <c r="AJ106" s="21"/>
    </row>
    <row r="107" spans="3:36" s="20" customFormat="1" x14ac:dyDescent="0.2">
      <c r="C107" s="17" t="s">
        <v>173</v>
      </c>
      <c r="D107" s="37">
        <f>+D74+D75+D81+D86+D70+D71+D79</f>
        <v>9.4336159999999989</v>
      </c>
      <c r="E107" s="37">
        <f t="shared" ref="E107:AD107" si="41">+E74+E75+E81+E86+E70+E71+E79</f>
        <v>5.0002169999999992</v>
      </c>
      <c r="F107" s="37">
        <f t="shared" si="41"/>
        <v>6.6993140000000002</v>
      </c>
      <c r="G107" s="37">
        <f t="shared" si="41"/>
        <v>16.155924000000002</v>
      </c>
      <c r="H107" s="37">
        <f t="shared" si="41"/>
        <v>22.620823999999999</v>
      </c>
      <c r="I107" s="37">
        <f t="shared" si="41"/>
        <v>29.737478999999997</v>
      </c>
      <c r="J107" s="37">
        <f t="shared" si="41"/>
        <v>29.737478999999997</v>
      </c>
      <c r="K107" s="37">
        <f t="shared" si="41"/>
        <v>15.834193999999998</v>
      </c>
      <c r="L107" s="37">
        <f t="shared" si="41"/>
        <v>11.965183</v>
      </c>
      <c r="M107" s="37">
        <f t="shared" si="41"/>
        <v>34.514521999999999</v>
      </c>
      <c r="N107" s="37">
        <f t="shared" si="41"/>
        <v>41.682561</v>
      </c>
      <c r="O107" s="37">
        <f t="shared" si="41"/>
        <v>41.682561</v>
      </c>
      <c r="P107" s="37">
        <f t="shared" si="41"/>
        <v>41.682561</v>
      </c>
      <c r="Q107" s="37">
        <f t="shared" si="41"/>
        <v>40.404672000000005</v>
      </c>
      <c r="R107" s="37">
        <f t="shared" si="41"/>
        <v>41.682561</v>
      </c>
      <c r="S107" s="37">
        <f t="shared" si="41"/>
        <v>14.313988999999999</v>
      </c>
      <c r="T107" s="37">
        <f t="shared" si="41"/>
        <v>14.313988999999999</v>
      </c>
      <c r="U107" s="37">
        <f t="shared" si="41"/>
        <v>14.014139212499977</v>
      </c>
      <c r="V107" s="37">
        <f t="shared" si="41"/>
        <v>14.686911772499977</v>
      </c>
      <c r="W107" s="37">
        <f t="shared" si="41"/>
        <v>18.555478252499977</v>
      </c>
      <c r="X107" s="37">
        <f t="shared" si="41"/>
        <v>23.773676767499978</v>
      </c>
      <c r="Y107" s="37">
        <f t="shared" si="41"/>
        <v>23.773676767499978</v>
      </c>
      <c r="Z107" s="37">
        <f t="shared" si="41"/>
        <v>22.996484467499993</v>
      </c>
      <c r="AA107" s="37">
        <f t="shared" si="41"/>
        <v>27.582836272499989</v>
      </c>
      <c r="AB107" s="37">
        <f t="shared" si="41"/>
        <v>37.918702267499988</v>
      </c>
      <c r="AC107" s="37">
        <f t="shared" si="41"/>
        <v>47.100341347499992</v>
      </c>
      <c r="AD107" s="37">
        <f t="shared" si="41"/>
        <v>47.100341347499992</v>
      </c>
      <c r="AI107" s="21"/>
      <c r="AJ107" s="21"/>
    </row>
    <row r="108" spans="3:36" s="20" customFormat="1" x14ac:dyDescent="0.2">
      <c r="C108" s="17" t="s">
        <v>174</v>
      </c>
      <c r="D108" s="37">
        <f>+D106-D107</f>
        <v>42.106608000000001</v>
      </c>
      <c r="E108" s="37">
        <f t="shared" ref="E108:AD108" si="42">+E106-E107</f>
        <v>36.152657999999995</v>
      </c>
      <c r="F108" s="37">
        <f t="shared" si="42"/>
        <v>36.561027000000003</v>
      </c>
      <c r="G108" s="37">
        <f t="shared" si="42"/>
        <v>31.641661000000003</v>
      </c>
      <c r="H108" s="37">
        <f t="shared" si="42"/>
        <v>42.479196999999999</v>
      </c>
      <c r="I108" s="37">
        <f t="shared" si="42"/>
        <v>35.499484999999993</v>
      </c>
      <c r="J108" s="37">
        <f t="shared" si="42"/>
        <v>35.499484999999993</v>
      </c>
      <c r="K108" s="37">
        <f t="shared" si="42"/>
        <v>46.131321000000007</v>
      </c>
      <c r="L108" s="37">
        <f t="shared" si="42"/>
        <v>36.157993000000005</v>
      </c>
      <c r="M108" s="37">
        <f t="shared" si="42"/>
        <v>26.342480999999999</v>
      </c>
      <c r="N108" s="37">
        <f t="shared" si="42"/>
        <v>16.677607999999999</v>
      </c>
      <c r="O108" s="37">
        <f t="shared" si="42"/>
        <v>16.677607999999999</v>
      </c>
      <c r="P108" s="37">
        <f t="shared" si="42"/>
        <v>16.677607999999999</v>
      </c>
      <c r="Q108" s="37">
        <f t="shared" si="42"/>
        <v>26.217041999999992</v>
      </c>
      <c r="R108" s="37">
        <f t="shared" si="42"/>
        <v>16.677607999999999</v>
      </c>
      <c r="S108" s="37">
        <f t="shared" si="42"/>
        <v>73.692104999999998</v>
      </c>
      <c r="T108" s="37">
        <f t="shared" si="42"/>
        <v>73.692104999999998</v>
      </c>
      <c r="U108" s="37">
        <f t="shared" si="42"/>
        <v>89.068067787500013</v>
      </c>
      <c r="V108" s="37">
        <f t="shared" si="42"/>
        <v>85.666855227499994</v>
      </c>
      <c r="W108" s="37">
        <f t="shared" si="42"/>
        <v>79.069848747499989</v>
      </c>
      <c r="X108" s="37">
        <f t="shared" si="42"/>
        <v>71.123210232499986</v>
      </c>
      <c r="Y108" s="37">
        <f t="shared" si="42"/>
        <v>71.123210232499986</v>
      </c>
      <c r="Z108" s="37">
        <f t="shared" si="42"/>
        <v>69.171962532499961</v>
      </c>
      <c r="AA108" s="37">
        <f t="shared" si="42"/>
        <v>61.857170727499962</v>
      </c>
      <c r="AB108" s="37">
        <f t="shared" si="42"/>
        <v>48.792864732499957</v>
      </c>
      <c r="AC108" s="37">
        <f t="shared" si="42"/>
        <v>36.882785652499948</v>
      </c>
      <c r="AD108" s="37">
        <f t="shared" si="42"/>
        <v>36.882785652499948</v>
      </c>
      <c r="AI108" s="21"/>
      <c r="AJ108" s="21"/>
    </row>
    <row r="109" spans="3:36" s="20" customFormat="1" x14ac:dyDescent="0.2">
      <c r="C109" s="17" t="s">
        <v>281</v>
      </c>
      <c r="D109" s="37">
        <f>+D76+D77+D78+D80-D90-D91-D94</f>
        <v>0.64140699999999962</v>
      </c>
      <c r="E109" s="37">
        <f t="shared" ref="E109:AD109" si="43">+E76+E77+E78+E80-E90-E91-E94</f>
        <v>1.5744259999999997</v>
      </c>
      <c r="F109" s="37">
        <f t="shared" si="43"/>
        <v>1.5693600000000005</v>
      </c>
      <c r="G109" s="37">
        <f t="shared" si="43"/>
        <v>0.70966499999999977</v>
      </c>
      <c r="H109" s="37">
        <f t="shared" si="43"/>
        <v>-0.4301389999999996</v>
      </c>
      <c r="I109" s="37">
        <f t="shared" si="43"/>
        <v>-0.12023299999999959</v>
      </c>
      <c r="J109" s="37">
        <f t="shared" si="43"/>
        <v>-0.12023299999999959</v>
      </c>
      <c r="K109" s="37">
        <f t="shared" si="43"/>
        <v>0.9737049999999996</v>
      </c>
      <c r="L109" s="37">
        <f t="shared" si="43"/>
        <v>2.0788970000000004</v>
      </c>
      <c r="M109" s="37">
        <f t="shared" si="43"/>
        <v>2.7155200000000006</v>
      </c>
      <c r="N109" s="37">
        <f t="shared" si="43"/>
        <v>4.4547890000000026</v>
      </c>
      <c r="O109" s="37">
        <f t="shared" si="43"/>
        <v>4.4547890000000026</v>
      </c>
      <c r="P109" s="37">
        <f t="shared" si="43"/>
        <v>4.4547890000000026</v>
      </c>
      <c r="Q109" s="37">
        <f t="shared" si="43"/>
        <v>3.6574049999999994</v>
      </c>
      <c r="R109" s="37">
        <f t="shared" si="43"/>
        <v>4.4547890000000026</v>
      </c>
      <c r="S109" s="37">
        <f t="shared" si="43"/>
        <v>7.4145400000000006</v>
      </c>
      <c r="T109" s="37">
        <f t="shared" si="43"/>
        <v>7.4145400000000006</v>
      </c>
      <c r="U109" s="37">
        <f t="shared" si="43"/>
        <v>7.4145400000000006</v>
      </c>
      <c r="V109" s="37">
        <f t="shared" si="43"/>
        <v>7.4145400000000006</v>
      </c>
      <c r="W109" s="37">
        <f t="shared" si="43"/>
        <v>7.4145400000000006</v>
      </c>
      <c r="X109" s="37">
        <f t="shared" si="43"/>
        <v>7.4145400000000006</v>
      </c>
      <c r="Y109" s="37">
        <f t="shared" si="43"/>
        <v>7.4145400000000006</v>
      </c>
      <c r="Z109" s="37">
        <f t="shared" si="43"/>
        <v>7.4145400000000006</v>
      </c>
      <c r="AA109" s="37">
        <f t="shared" si="43"/>
        <v>7.4145400000000006</v>
      </c>
      <c r="AB109" s="37">
        <f t="shared" si="43"/>
        <v>7.4145400000000006</v>
      </c>
      <c r="AC109" s="37">
        <f t="shared" si="43"/>
        <v>7.4145400000000006</v>
      </c>
      <c r="AD109" s="37">
        <f t="shared" si="43"/>
        <v>7.4145400000000006</v>
      </c>
      <c r="AI109" s="21"/>
      <c r="AJ109" s="21"/>
    </row>
    <row r="110" spans="3:36" s="20" customFormat="1" ht="5.0999999999999996" customHeight="1" x14ac:dyDescent="0.2">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I110" s="21"/>
      <c r="AJ110" s="21"/>
    </row>
    <row r="111" spans="3:36" s="20" customFormat="1" x14ac:dyDescent="0.2">
      <c r="C111" s="17" t="s">
        <v>175</v>
      </c>
      <c r="D111" s="48">
        <f>-(D20+D24)/D108</f>
        <v>8.33663210297063E-2</v>
      </c>
      <c r="E111" s="48">
        <f t="shared" ref="E111:R111" si="44">-(E20+E24)/E108</f>
        <v>6.501466641816489E-2</v>
      </c>
      <c r="F111" s="48">
        <f t="shared" si="44"/>
        <v>1.620556227810559E-2</v>
      </c>
      <c r="G111" s="48">
        <f t="shared" si="44"/>
        <v>1.6379386657356578E-2</v>
      </c>
      <c r="H111" s="48">
        <f t="shared" si="44"/>
        <v>1.3082803801587869E-2</v>
      </c>
      <c r="I111" s="48">
        <f t="shared" si="44"/>
        <v>1.8648974766817043E-2</v>
      </c>
      <c r="J111" s="48">
        <f t="shared" si="44"/>
        <v>6.559359945644283E-2</v>
      </c>
      <c r="K111" s="48">
        <f t="shared" si="44"/>
        <v>1.4050042052773642E-2</v>
      </c>
      <c r="L111" s="48">
        <f t="shared" si="44"/>
        <v>2.0938385601214089E-2</v>
      </c>
      <c r="M111" s="48">
        <f t="shared" si="44"/>
        <v>3.6620924202242E-2</v>
      </c>
      <c r="N111" s="48">
        <f t="shared" si="44"/>
        <v>8.6152942316428102E-2</v>
      </c>
      <c r="O111" s="48">
        <f t="shared" si="44"/>
        <v>0.22825503513453488</v>
      </c>
      <c r="P111" s="48">
        <f t="shared" si="44"/>
        <v>7.4033998160887349E-2</v>
      </c>
      <c r="Q111" s="48">
        <f t="shared" si="44"/>
        <v>4.7794102782457319E-2</v>
      </c>
      <c r="R111" s="48">
        <f t="shared" si="44"/>
        <v>7.3566724916426865E-2</v>
      </c>
      <c r="S111" s="48">
        <f>-(S20+S24)/S108</f>
        <v>2.5437568922749596E-2</v>
      </c>
      <c r="T111" s="48">
        <f>-(T20+T24)/T108</f>
        <v>7.5845234710014059E-2</v>
      </c>
      <c r="U111" s="147"/>
      <c r="V111" s="147"/>
      <c r="W111" s="147"/>
      <c r="X111" s="147"/>
      <c r="Y111" s="48"/>
      <c r="Z111" s="48"/>
      <c r="AA111" s="48"/>
      <c r="AB111" s="48"/>
      <c r="AC111" s="48"/>
      <c r="AD111" s="48"/>
      <c r="AI111" s="21"/>
      <c r="AJ111" s="21"/>
    </row>
    <row r="112" spans="3:36" s="20" customFormat="1" x14ac:dyDescent="0.2">
      <c r="C112" s="17" t="s">
        <v>176</v>
      </c>
      <c r="D112" s="37">
        <f>+D69/-D19</f>
        <v>16.329694370813399</v>
      </c>
      <c r="E112" s="37">
        <f>+D69/-E19</f>
        <v>16.085592905463116</v>
      </c>
      <c r="F112" s="37">
        <f>+(E69/(-F19*4))</f>
        <v>15.029328881812733</v>
      </c>
      <c r="G112" s="37">
        <f>+(F69/(-G19*4))</f>
        <v>13.870055747882121</v>
      </c>
      <c r="H112" s="37">
        <f>+(G69/(-H19*4))</f>
        <v>13.621001604552045</v>
      </c>
      <c r="I112" s="37">
        <f>+(H69/(-I19*4))</f>
        <v>14.442599582938055</v>
      </c>
      <c r="J112" s="37">
        <f>AVERAGE(F112:I112)</f>
        <v>14.240746454296239</v>
      </c>
      <c r="K112" s="37">
        <f>+(J69/(-K19*4))</f>
        <v>13.067530568543587</v>
      </c>
      <c r="L112" s="37">
        <f>+(K69/(-L19*4))</f>
        <v>12.878212592784791</v>
      </c>
      <c r="M112" s="37">
        <f>+(L69/(-M19*4))</f>
        <v>14.018738682331101</v>
      </c>
      <c r="N112" s="37">
        <f>+(M69/(-N19*4))</f>
        <v>14.718873881485539</v>
      </c>
      <c r="O112" s="37">
        <f>AVERAGE(K112:N112)</f>
        <v>13.670838931286255</v>
      </c>
      <c r="P112" s="37">
        <f>+(O69/(-P19*4))</f>
        <v>14.699531045753567</v>
      </c>
      <c r="Q112" s="37">
        <f>+(P69/(-Q19*4))</f>
        <v>14.457938757848821</v>
      </c>
      <c r="R112" s="37">
        <f>+(Q69/(-R19*4))</f>
        <v>13.743869338809874</v>
      </c>
      <c r="S112" s="37">
        <f>+(R69/(-S19*4))</f>
        <v>11.512253484916231</v>
      </c>
      <c r="T112" s="37">
        <f>+(S69/(-T19*4))</f>
        <v>4.6397180134154361</v>
      </c>
      <c r="U112" s="37"/>
      <c r="V112" s="37"/>
      <c r="W112" s="37"/>
      <c r="X112" s="37"/>
      <c r="Y112" s="37"/>
      <c r="Z112" s="37"/>
      <c r="AA112" s="37"/>
      <c r="AB112" s="37"/>
      <c r="AC112" s="37"/>
      <c r="AD112" s="37"/>
      <c r="AI112" s="21"/>
      <c r="AJ112" s="21"/>
    </row>
    <row r="113" spans="3:36" s="20" customFormat="1" x14ac:dyDescent="0.2">
      <c r="C113" s="17"/>
      <c r="D113" s="17"/>
      <c r="E113" s="17"/>
      <c r="F113" s="17"/>
      <c r="G113" s="17"/>
      <c r="H113" s="17"/>
      <c r="I113" s="17"/>
      <c r="J113" s="17"/>
      <c r="K113" s="17"/>
      <c r="L113" s="17"/>
      <c r="M113" s="17"/>
      <c r="N113" s="17"/>
      <c r="O113" s="17"/>
      <c r="P113" s="17"/>
      <c r="Q113" s="17"/>
      <c r="R113" s="17"/>
      <c r="AI113" s="21"/>
      <c r="AJ113" s="21"/>
    </row>
    <row r="114" spans="3:36" s="20" customFormat="1" x14ac:dyDescent="0.2">
      <c r="C114" s="30" t="s">
        <v>177</v>
      </c>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I114" s="21"/>
      <c r="AJ114" s="21"/>
    </row>
    <row r="115" spans="3:36" s="20" customFormat="1" x14ac:dyDescent="0.2">
      <c r="C115" s="49" t="s">
        <v>192</v>
      </c>
      <c r="D115" s="77" t="s">
        <v>193</v>
      </c>
      <c r="E115" s="77" t="s">
        <v>724</v>
      </c>
      <c r="F115" s="60" t="s">
        <v>320</v>
      </c>
      <c r="G115" s="60" t="s">
        <v>198</v>
      </c>
      <c r="H115" s="60" t="s">
        <v>197</v>
      </c>
      <c r="I115" s="77" t="s">
        <v>200</v>
      </c>
      <c r="J115" s="80" t="s">
        <v>194</v>
      </c>
      <c r="K115" s="80" t="s">
        <v>195</v>
      </c>
      <c r="L115" s="77" t="s">
        <v>196</v>
      </c>
      <c r="M115" s="77" t="s">
        <v>729</v>
      </c>
      <c r="N115" s="77" t="s">
        <v>199</v>
      </c>
      <c r="O115" s="1"/>
      <c r="P115" s="77" t="s">
        <v>720</v>
      </c>
      <c r="Q115" s="77" t="s">
        <v>721</v>
      </c>
      <c r="R115" s="77" t="s">
        <v>722</v>
      </c>
      <c r="S115" s="77" t="s">
        <v>723</v>
      </c>
      <c r="T115" s="77" t="s">
        <v>725</v>
      </c>
      <c r="U115" s="77" t="s">
        <v>726</v>
      </c>
      <c r="V115" s="77" t="s">
        <v>727</v>
      </c>
      <c r="W115" s="77" t="s">
        <v>728</v>
      </c>
      <c r="AI115" s="21"/>
      <c r="AJ115" s="21"/>
    </row>
    <row r="116" spans="3:36" s="20" customFormat="1" ht="12.95" customHeight="1" x14ac:dyDescent="0.25">
      <c r="C116" s="17" t="s">
        <v>516</v>
      </c>
      <c r="D116" s="59" t="s">
        <v>526</v>
      </c>
      <c r="E116" s="92" t="s">
        <v>18</v>
      </c>
      <c r="F116" s="78">
        <v>1</v>
      </c>
      <c r="G116" s="79">
        <v>1</v>
      </c>
      <c r="H116" s="79">
        <v>0</v>
      </c>
      <c r="I116" s="59">
        <v>82000</v>
      </c>
      <c r="J116" s="81">
        <v>43101</v>
      </c>
      <c r="K116" s="81">
        <f ca="1">TODAY()</f>
        <v>45460</v>
      </c>
      <c r="L116" s="82">
        <f ca="1">+(K116-J116)/365</f>
        <v>6.463013698630137</v>
      </c>
      <c r="M116" s="59">
        <f ca="1">SUMPRODUCT(P116:S116,T116:W116)</f>
        <v>25.460605477683828</v>
      </c>
      <c r="N116" s="59">
        <f ca="1">M116*F116</f>
        <v>25.460605477683828</v>
      </c>
      <c r="O116"/>
      <c r="P116" s="90">
        <f>INDEX('Vessel Valuations'!F$34:F$40,MATCH($E116,'Vessel Valuations'!$C$34:$C$40,0))</f>
        <v>-5.5089355089355104E-4</v>
      </c>
      <c r="Q116" s="90">
        <f>INDEX('Vessel Valuations'!G$34:G$40,MATCH($E116,'Vessel Valuations'!$C$34:$C$40,0))</f>
        <v>6.7377622377622431E-2</v>
      </c>
      <c r="R116" s="90">
        <f>INDEX('Vessel Valuations'!H$34:H$40,MATCH($E116,'Vessel Valuations'!$C$34:$C$40,0))</f>
        <v>-2.6489898989899006</v>
      </c>
      <c r="S116" s="90">
        <f>INDEX('Vessel Valuations'!I$34:I$40,MATCH($E116,'Vessel Valuations'!$C$34:$C$40,0))</f>
        <v>39.915384615384625</v>
      </c>
      <c r="T116" s="93">
        <f ca="1">$L116^3</f>
        <v>269.96361144114525</v>
      </c>
      <c r="U116" s="93">
        <f ca="1">$L116^2</f>
        <v>41.770546068680801</v>
      </c>
      <c r="V116" s="93">
        <f ca="1">$L116^1</f>
        <v>6.463013698630137</v>
      </c>
      <c r="W116" s="93">
        <f ca="1">$L116^0</f>
        <v>1</v>
      </c>
      <c r="AI116" s="21"/>
      <c r="AJ116" s="21"/>
    </row>
    <row r="117" spans="3:36" s="20" customFormat="1" ht="12.95" customHeight="1" x14ac:dyDescent="0.25">
      <c r="C117" s="17" t="s">
        <v>517</v>
      </c>
      <c r="D117" s="59" t="s">
        <v>526</v>
      </c>
      <c r="E117" s="92" t="s">
        <v>18</v>
      </c>
      <c r="F117" s="78">
        <v>1</v>
      </c>
      <c r="G117" s="79">
        <v>1</v>
      </c>
      <c r="H117" s="79">
        <v>0</v>
      </c>
      <c r="I117" s="59">
        <v>82000</v>
      </c>
      <c r="J117" s="83">
        <v>42370</v>
      </c>
      <c r="K117" s="83">
        <f t="shared" ref="K117:K128" ca="1" si="45">TODAY()</f>
        <v>45460</v>
      </c>
      <c r="L117" s="82">
        <f t="shared" ref="L117:L128" ca="1" si="46">+(K117-J117)/365</f>
        <v>8.4657534246575334</v>
      </c>
      <c r="M117" s="59">
        <f t="shared" ref="M117:M128" ca="1" si="47">SUMPRODUCT(P117:S117,T117:W117)</f>
        <v>21.984330144499708</v>
      </c>
      <c r="N117" s="59">
        <f t="shared" ref="N117:N128" ca="1" si="48">M117*F117</f>
        <v>21.984330144499708</v>
      </c>
      <c r="O117"/>
      <c r="P117" s="90">
        <f>INDEX('Vessel Valuations'!F$34:F$40,MATCH($E117,'Vessel Valuations'!$C$34:$C$40,0))</f>
        <v>-5.5089355089355104E-4</v>
      </c>
      <c r="Q117" s="90">
        <f>INDEX('Vessel Valuations'!G$34:G$40,MATCH($E117,'Vessel Valuations'!$C$34:$C$40,0))</f>
        <v>6.7377622377622431E-2</v>
      </c>
      <c r="R117" s="90">
        <f>INDEX('Vessel Valuations'!H$34:H$40,MATCH($E117,'Vessel Valuations'!$C$34:$C$40,0))</f>
        <v>-2.6489898989899006</v>
      </c>
      <c r="S117" s="90">
        <f>INDEX('Vessel Valuations'!I$34:I$40,MATCH($E117,'Vessel Valuations'!$C$34:$C$40,0))</f>
        <v>39.915384615384625</v>
      </c>
      <c r="T117" s="93">
        <f t="shared" ref="T117:T128" ca="1" si="49">$L117^3</f>
        <v>606.73192174120913</v>
      </c>
      <c r="U117" s="93">
        <f t="shared" ref="U117:U128" ca="1" si="50">$L117^2</f>
        <v>71.668981047100758</v>
      </c>
      <c r="V117" s="93">
        <f t="shared" ref="V117:V128" ca="1" si="51">$L117^1</f>
        <v>8.4657534246575334</v>
      </c>
      <c r="W117" s="93">
        <f t="shared" ref="W117:W128" ca="1" si="52">$L117^0</f>
        <v>1</v>
      </c>
      <c r="AI117" s="21"/>
      <c r="AJ117" s="21"/>
    </row>
    <row r="118" spans="3:36" s="20" customFormat="1" ht="12.95" customHeight="1" x14ac:dyDescent="0.25">
      <c r="C118" s="17" t="s">
        <v>518</v>
      </c>
      <c r="D118" s="59" t="s">
        <v>73</v>
      </c>
      <c r="E118" s="91" t="str">
        <f t="shared" ref="E118:E127" si="53">D118</f>
        <v>Ultramax</v>
      </c>
      <c r="F118" s="78">
        <v>1</v>
      </c>
      <c r="G118" s="79">
        <v>1</v>
      </c>
      <c r="H118" s="79">
        <v>0</v>
      </c>
      <c r="I118" s="59">
        <v>63500</v>
      </c>
      <c r="J118" s="83">
        <v>42736</v>
      </c>
      <c r="K118" s="83">
        <f t="shared" ca="1" si="45"/>
        <v>45460</v>
      </c>
      <c r="L118" s="82">
        <f t="shared" ca="1" si="46"/>
        <v>7.463013698630137</v>
      </c>
      <c r="M118" s="59">
        <f t="shared" ca="1" si="47"/>
        <v>23.040834082977462</v>
      </c>
      <c r="N118" s="59">
        <f t="shared" ca="1" si="48"/>
        <v>23.040834082977462</v>
      </c>
      <c r="O118"/>
      <c r="P118" s="90">
        <f>INDEX('Vessel Valuations'!F$34:F$40,MATCH($E118,'Vessel Valuations'!$C$34:$C$40,0))</f>
        <v>-5.1561771561771602E-4</v>
      </c>
      <c r="Q118" s="90">
        <f>INDEX('Vessel Valuations'!G$34:G$40,MATCH($E118,'Vessel Valuations'!$C$34:$C$40,0))</f>
        <v>6.4188811188811243E-2</v>
      </c>
      <c r="R118" s="90">
        <f>INDEX('Vessel Valuations'!H$34:H$40,MATCH($E118,'Vessel Valuations'!$C$34:$C$40,0))</f>
        <v>-2.568752913752915</v>
      </c>
      <c r="S118" s="90">
        <f>INDEX('Vessel Valuations'!I$34:I$40,MATCH($E118,'Vessel Valuations'!$C$34:$C$40,0))</f>
        <v>38.850699300699304</v>
      </c>
      <c r="T118" s="93">
        <f t="shared" ca="1" si="49"/>
        <v>415.66429074307808</v>
      </c>
      <c r="U118" s="93">
        <f t="shared" ca="1" si="50"/>
        <v>55.696573465941078</v>
      </c>
      <c r="V118" s="93">
        <f t="shared" ca="1" si="51"/>
        <v>7.463013698630137</v>
      </c>
      <c r="W118" s="93">
        <f t="shared" ca="1" si="52"/>
        <v>1</v>
      </c>
      <c r="AI118" s="21"/>
      <c r="AJ118" s="21"/>
    </row>
    <row r="119" spans="3:36" s="20" customFormat="1" ht="12.95" customHeight="1" x14ac:dyDescent="0.25">
      <c r="C119" s="17" t="s">
        <v>527</v>
      </c>
      <c r="D119" s="59" t="s">
        <v>73</v>
      </c>
      <c r="E119" s="91" t="str">
        <f t="shared" si="53"/>
        <v>Ultramax</v>
      </c>
      <c r="F119" s="78">
        <v>0.61</v>
      </c>
      <c r="G119" s="79">
        <v>0</v>
      </c>
      <c r="H119" s="79">
        <v>0</v>
      </c>
      <c r="I119" s="59">
        <v>63500</v>
      </c>
      <c r="J119" s="83">
        <v>42005</v>
      </c>
      <c r="K119" s="83">
        <f t="shared" ca="1" si="45"/>
        <v>45460</v>
      </c>
      <c r="L119" s="82">
        <f t="shared" ca="1" si="46"/>
        <v>9.4657534246575334</v>
      </c>
      <c r="M119" s="59">
        <f t="shared" ca="1" si="47"/>
        <v>19.849552398865985</v>
      </c>
      <c r="N119" s="59">
        <f t="shared" ca="1" si="48"/>
        <v>12.108226963308251</v>
      </c>
      <c r="O119"/>
      <c r="P119" s="90">
        <f>INDEX('Vessel Valuations'!F$34:F$40,MATCH($E119,'Vessel Valuations'!$C$34:$C$40,0))</f>
        <v>-5.1561771561771602E-4</v>
      </c>
      <c r="Q119" s="90">
        <f>INDEX('Vessel Valuations'!G$34:G$40,MATCH($E119,'Vessel Valuations'!$C$34:$C$40,0))</f>
        <v>6.4188811188811243E-2</v>
      </c>
      <c r="R119" s="90">
        <f>INDEX('Vessel Valuations'!H$34:H$40,MATCH($E119,'Vessel Valuations'!$C$34:$C$40,0))</f>
        <v>-2.568752913752915</v>
      </c>
      <c r="S119" s="90">
        <f>INDEX('Vessel Valuations'!I$34:I$40,MATCH($E119,'Vessel Valuations'!$C$34:$C$40,0))</f>
        <v>38.850699300699304</v>
      </c>
      <c r="T119" s="93">
        <f t="shared" ca="1" si="49"/>
        <v>848.13612515648401</v>
      </c>
      <c r="U119" s="93">
        <f t="shared" ca="1" si="50"/>
        <v>89.600487896415828</v>
      </c>
      <c r="V119" s="93">
        <f t="shared" ca="1" si="51"/>
        <v>9.4657534246575334</v>
      </c>
      <c r="W119" s="93">
        <f t="shared" ca="1" si="52"/>
        <v>1</v>
      </c>
      <c r="AI119" s="21"/>
      <c r="AJ119" s="21"/>
    </row>
    <row r="120" spans="3:36" s="20" customFormat="1" ht="12.95" customHeight="1" x14ac:dyDescent="0.25">
      <c r="C120" s="17" t="s">
        <v>528</v>
      </c>
      <c r="D120" s="59" t="s">
        <v>73</v>
      </c>
      <c r="E120" s="91" t="str">
        <f t="shared" si="53"/>
        <v>Ultramax</v>
      </c>
      <c r="F120" s="78">
        <v>1</v>
      </c>
      <c r="G120" s="79">
        <v>0</v>
      </c>
      <c r="H120" s="79">
        <v>0</v>
      </c>
      <c r="I120" s="59">
        <v>63197</v>
      </c>
      <c r="J120" s="83">
        <v>41640</v>
      </c>
      <c r="K120" s="83">
        <f t="shared" ca="1" si="45"/>
        <v>45460</v>
      </c>
      <c r="L120" s="82">
        <f t="shared" ca="1" si="46"/>
        <v>10.465753424657533</v>
      </c>
      <c r="M120" s="59">
        <f t="shared" ca="1" si="47"/>
        <v>18.406422670122222</v>
      </c>
      <c r="N120" s="59">
        <f t="shared" ca="1" si="48"/>
        <v>18.406422670122222</v>
      </c>
      <c r="O120"/>
      <c r="P120" s="90">
        <f>INDEX('Vessel Valuations'!F$34:F$40,MATCH($E120,'Vessel Valuations'!$C$34:$C$40,0))</f>
        <v>-5.1561771561771602E-4</v>
      </c>
      <c r="Q120" s="90">
        <f>INDEX('Vessel Valuations'!G$34:G$40,MATCH($E120,'Vessel Valuations'!$C$34:$C$40,0))</f>
        <v>6.4188811188811243E-2</v>
      </c>
      <c r="R120" s="90">
        <f>INDEX('Vessel Valuations'!H$34:H$40,MATCH($E120,'Vessel Valuations'!$C$34:$C$40,0))</f>
        <v>-2.568752913752915</v>
      </c>
      <c r="S120" s="90">
        <f>INDEX('Vessel Valuations'!I$34:I$40,MATCH($E120,'Vessel Valuations'!$C$34:$C$40,0))</f>
        <v>38.850699300699304</v>
      </c>
      <c r="T120" s="93">
        <f t="shared" ca="1" si="49"/>
        <v>1146.3348491197039</v>
      </c>
      <c r="U120" s="93">
        <f t="shared" ca="1" si="50"/>
        <v>109.53199474573088</v>
      </c>
      <c r="V120" s="93">
        <f t="shared" ca="1" si="51"/>
        <v>10.465753424657533</v>
      </c>
      <c r="W120" s="93">
        <f t="shared" ca="1" si="52"/>
        <v>1</v>
      </c>
      <c r="AI120" s="21"/>
      <c r="AJ120" s="21"/>
    </row>
    <row r="121" spans="3:36" s="20" customFormat="1" ht="12.95" customHeight="1" x14ac:dyDescent="0.25">
      <c r="C121" s="17" t="s">
        <v>529</v>
      </c>
      <c r="D121" s="59" t="s">
        <v>73</v>
      </c>
      <c r="E121" s="91" t="str">
        <f t="shared" si="53"/>
        <v>Ultramax</v>
      </c>
      <c r="F121" s="78">
        <v>0.61</v>
      </c>
      <c r="G121" s="79">
        <v>0</v>
      </c>
      <c r="H121" s="79">
        <v>0</v>
      </c>
      <c r="I121" s="59">
        <v>63153</v>
      </c>
      <c r="J121" s="83">
        <v>42005</v>
      </c>
      <c r="K121" s="83">
        <f t="shared" ca="1" si="45"/>
        <v>45460</v>
      </c>
      <c r="L121" s="82">
        <f t="shared" ca="1" si="46"/>
        <v>9.4657534246575334</v>
      </c>
      <c r="M121" s="59">
        <f t="shared" ca="1" si="47"/>
        <v>19.849552398865985</v>
      </c>
      <c r="N121" s="59">
        <f t="shared" ca="1" si="48"/>
        <v>12.108226963308251</v>
      </c>
      <c r="O121"/>
      <c r="P121" s="90">
        <f>INDEX('Vessel Valuations'!F$34:F$40,MATCH($E121,'Vessel Valuations'!$C$34:$C$40,0))</f>
        <v>-5.1561771561771602E-4</v>
      </c>
      <c r="Q121" s="90">
        <f>INDEX('Vessel Valuations'!G$34:G$40,MATCH($E121,'Vessel Valuations'!$C$34:$C$40,0))</f>
        <v>6.4188811188811243E-2</v>
      </c>
      <c r="R121" s="90">
        <f>INDEX('Vessel Valuations'!H$34:H$40,MATCH($E121,'Vessel Valuations'!$C$34:$C$40,0))</f>
        <v>-2.568752913752915</v>
      </c>
      <c r="S121" s="90">
        <f>INDEX('Vessel Valuations'!I$34:I$40,MATCH($E121,'Vessel Valuations'!$C$34:$C$40,0))</f>
        <v>38.850699300699304</v>
      </c>
      <c r="T121" s="93">
        <f t="shared" ca="1" si="49"/>
        <v>848.13612515648401</v>
      </c>
      <c r="U121" s="93">
        <f t="shared" ca="1" si="50"/>
        <v>89.600487896415828</v>
      </c>
      <c r="V121" s="93">
        <f t="shared" ca="1" si="51"/>
        <v>9.4657534246575334</v>
      </c>
      <c r="W121" s="93">
        <f t="shared" ca="1" si="52"/>
        <v>1</v>
      </c>
      <c r="AI121" s="21"/>
      <c r="AJ121" s="21"/>
    </row>
    <row r="122" spans="3:36" s="20" customFormat="1" ht="12.95" customHeight="1" x14ac:dyDescent="0.25">
      <c r="C122" s="17" t="s">
        <v>519</v>
      </c>
      <c r="D122" s="59" t="s">
        <v>73</v>
      </c>
      <c r="E122" s="91" t="str">
        <f t="shared" si="53"/>
        <v>Ultramax</v>
      </c>
      <c r="F122" s="78">
        <v>1</v>
      </c>
      <c r="G122" s="79">
        <v>0</v>
      </c>
      <c r="H122" s="79">
        <v>0</v>
      </c>
      <c r="I122" s="59">
        <v>62996</v>
      </c>
      <c r="J122" s="83">
        <v>41640</v>
      </c>
      <c r="K122" s="83">
        <f t="shared" ca="1" si="45"/>
        <v>45460</v>
      </c>
      <c r="L122" s="82">
        <f t="shared" ca="1" si="46"/>
        <v>10.465753424657533</v>
      </c>
      <c r="M122" s="59">
        <f t="shared" ca="1" si="47"/>
        <v>18.406422670122222</v>
      </c>
      <c r="N122" s="59">
        <f t="shared" ca="1" si="48"/>
        <v>18.406422670122222</v>
      </c>
      <c r="O122"/>
      <c r="P122" s="90">
        <f>INDEX('Vessel Valuations'!F$34:F$40,MATCH($E122,'Vessel Valuations'!$C$34:$C$40,0))</f>
        <v>-5.1561771561771602E-4</v>
      </c>
      <c r="Q122" s="90">
        <f>INDEX('Vessel Valuations'!G$34:G$40,MATCH($E122,'Vessel Valuations'!$C$34:$C$40,0))</f>
        <v>6.4188811188811243E-2</v>
      </c>
      <c r="R122" s="90">
        <f>INDEX('Vessel Valuations'!H$34:H$40,MATCH($E122,'Vessel Valuations'!$C$34:$C$40,0))</f>
        <v>-2.568752913752915</v>
      </c>
      <c r="S122" s="90">
        <f>INDEX('Vessel Valuations'!I$34:I$40,MATCH($E122,'Vessel Valuations'!$C$34:$C$40,0))</f>
        <v>38.850699300699304</v>
      </c>
      <c r="T122" s="93">
        <f t="shared" ca="1" si="49"/>
        <v>1146.3348491197039</v>
      </c>
      <c r="U122" s="93">
        <f t="shared" ca="1" si="50"/>
        <v>109.53199474573088</v>
      </c>
      <c r="V122" s="93">
        <f t="shared" ca="1" si="51"/>
        <v>10.465753424657533</v>
      </c>
      <c r="W122" s="93">
        <f t="shared" ca="1" si="52"/>
        <v>1</v>
      </c>
      <c r="AI122" s="21"/>
      <c r="AJ122" s="21"/>
    </row>
    <row r="123" spans="3:36" s="20" customFormat="1" ht="12.95" customHeight="1" x14ac:dyDescent="0.25">
      <c r="C123" s="17" t="s">
        <v>520</v>
      </c>
      <c r="D123" s="59" t="s">
        <v>20</v>
      </c>
      <c r="E123" s="91" t="str">
        <f t="shared" si="53"/>
        <v>Supramax</v>
      </c>
      <c r="F123" s="78">
        <v>1</v>
      </c>
      <c r="G123" s="79">
        <v>0</v>
      </c>
      <c r="H123" s="79">
        <v>0</v>
      </c>
      <c r="I123" s="59">
        <v>57924</v>
      </c>
      <c r="J123" s="83">
        <v>41640</v>
      </c>
      <c r="K123" s="83">
        <f t="shared" ca="1" si="45"/>
        <v>45460</v>
      </c>
      <c r="L123" s="82">
        <f t="shared" ca="1" si="46"/>
        <v>10.465753424657533</v>
      </c>
      <c r="M123" s="59">
        <f t="shared" ca="1" si="47"/>
        <v>17.872638927395585</v>
      </c>
      <c r="N123" s="59">
        <f t="shared" ca="1" si="48"/>
        <v>17.872638927395585</v>
      </c>
      <c r="O123"/>
      <c r="P123" s="90">
        <f>INDEX('Vessel Valuations'!F$34:F$40,MATCH($E123,'Vessel Valuations'!$C$34:$C$40,0))</f>
        <v>-4.8034188034188138E-4</v>
      </c>
      <c r="Q123" s="90">
        <f>INDEX('Vessel Valuations'!G$34:G$40,MATCH($E123,'Vessel Valuations'!$C$34:$C$40,0))</f>
        <v>6.1000000000000089E-2</v>
      </c>
      <c r="R123" s="90">
        <f>INDEX('Vessel Valuations'!H$34:H$40,MATCH($E123,'Vessel Valuations'!$C$34:$C$40,0))</f>
        <v>-2.4885159285159304</v>
      </c>
      <c r="S123" s="90">
        <f>INDEX('Vessel Valuations'!I$34:I$40,MATCH($E123,'Vessel Valuations'!$C$34:$C$40,0))</f>
        <v>37.786013986013998</v>
      </c>
      <c r="T123" s="93">
        <f t="shared" ca="1" si="49"/>
        <v>1146.3348491197039</v>
      </c>
      <c r="U123" s="93">
        <f t="shared" ca="1" si="50"/>
        <v>109.53199474573088</v>
      </c>
      <c r="V123" s="93">
        <f t="shared" ca="1" si="51"/>
        <v>10.465753424657533</v>
      </c>
      <c r="W123" s="93">
        <f t="shared" ca="1" si="52"/>
        <v>1</v>
      </c>
      <c r="AI123" s="21"/>
      <c r="AJ123" s="21"/>
    </row>
    <row r="124" spans="3:36" s="20" customFormat="1" ht="12.95" customHeight="1" x14ac:dyDescent="0.25">
      <c r="C124" s="17" t="s">
        <v>521</v>
      </c>
      <c r="D124" s="59" t="s">
        <v>18</v>
      </c>
      <c r="E124" s="91" t="str">
        <f t="shared" si="53"/>
        <v>Panamax</v>
      </c>
      <c r="F124" s="78">
        <v>1</v>
      </c>
      <c r="G124" s="79">
        <v>0</v>
      </c>
      <c r="H124" s="79">
        <v>0</v>
      </c>
      <c r="I124" s="59">
        <v>76466</v>
      </c>
      <c r="J124" s="83">
        <v>37987</v>
      </c>
      <c r="K124" s="83">
        <f t="shared" ca="1" si="45"/>
        <v>45460</v>
      </c>
      <c r="L124" s="82">
        <f t="shared" ca="1" si="46"/>
        <v>20.473972602739725</v>
      </c>
      <c r="M124" s="59">
        <f t="shared" ca="1" si="47"/>
        <v>9.1956665156817863</v>
      </c>
      <c r="N124" s="59">
        <f t="shared" ca="1" si="48"/>
        <v>9.1956665156817863</v>
      </c>
      <c r="O124"/>
      <c r="P124" s="90">
        <f>INDEX('Vessel Valuations'!F$34:F$40,MATCH($E124,'Vessel Valuations'!$C$34:$C$40,0))</f>
        <v>-5.5089355089355104E-4</v>
      </c>
      <c r="Q124" s="90">
        <f>INDEX('Vessel Valuations'!G$34:G$40,MATCH($E124,'Vessel Valuations'!$C$34:$C$40,0))</f>
        <v>6.7377622377622431E-2</v>
      </c>
      <c r="R124" s="90">
        <f>INDEX('Vessel Valuations'!H$34:H$40,MATCH($E124,'Vessel Valuations'!$C$34:$C$40,0))</f>
        <v>-2.6489898989899006</v>
      </c>
      <c r="S124" s="90">
        <f>INDEX('Vessel Valuations'!I$34:I$40,MATCH($E124,'Vessel Valuations'!$C$34:$C$40,0))</f>
        <v>39.915384615384625</v>
      </c>
      <c r="T124" s="93">
        <f t="shared" ca="1" si="49"/>
        <v>8582.3526029350887</v>
      </c>
      <c r="U124" s="93">
        <f t="shared" ca="1" si="50"/>
        <v>419.18355413773685</v>
      </c>
      <c r="V124" s="93">
        <f t="shared" ca="1" si="51"/>
        <v>20.473972602739725</v>
      </c>
      <c r="W124" s="93">
        <f t="shared" ca="1" si="52"/>
        <v>1</v>
      </c>
      <c r="X124" s="90">
        <f>'Vessel Valuations'!O36</f>
        <v>0</v>
      </c>
      <c r="Y124" s="90">
        <f>'Vessel Valuations'!P36</f>
        <v>0</v>
      </c>
      <c r="Z124" s="90">
        <f>'Vessel Valuations'!Q36</f>
        <v>0</v>
      </c>
      <c r="AI124" s="21"/>
      <c r="AJ124" s="21"/>
    </row>
    <row r="125" spans="3:36" s="20" customFormat="1" ht="12.95" customHeight="1" x14ac:dyDescent="0.25">
      <c r="C125" s="17" t="s">
        <v>522</v>
      </c>
      <c r="D125" s="59" t="s">
        <v>18</v>
      </c>
      <c r="E125" s="91" t="str">
        <f t="shared" si="53"/>
        <v>Panamax</v>
      </c>
      <c r="F125" s="78">
        <v>1</v>
      </c>
      <c r="G125" s="79">
        <v>0</v>
      </c>
      <c r="H125" s="79">
        <v>0</v>
      </c>
      <c r="I125" s="59">
        <v>76440</v>
      </c>
      <c r="J125" s="83">
        <v>38353</v>
      </c>
      <c r="K125" s="83">
        <f t="shared" ca="1" si="45"/>
        <v>45460</v>
      </c>
      <c r="L125" s="82">
        <f t="shared" ca="1" si="46"/>
        <v>19.471232876712328</v>
      </c>
      <c r="M125" s="59">
        <f t="shared" ca="1" si="47"/>
        <v>9.8143346178678179</v>
      </c>
      <c r="N125" s="59">
        <f t="shared" ca="1" si="48"/>
        <v>9.8143346178678179</v>
      </c>
      <c r="O125"/>
      <c r="P125" s="90">
        <f>INDEX('Vessel Valuations'!F$34:F$40,MATCH($E125,'Vessel Valuations'!$C$34:$C$40,0))</f>
        <v>-5.5089355089355104E-4</v>
      </c>
      <c r="Q125" s="90">
        <f>INDEX('Vessel Valuations'!G$34:G$40,MATCH($E125,'Vessel Valuations'!$C$34:$C$40,0))</f>
        <v>6.7377622377622431E-2</v>
      </c>
      <c r="R125" s="90">
        <f>INDEX('Vessel Valuations'!H$34:H$40,MATCH($E125,'Vessel Valuations'!$C$34:$C$40,0))</f>
        <v>-2.6489898989899006</v>
      </c>
      <c r="S125" s="90">
        <f>INDEX('Vessel Valuations'!I$34:I$40,MATCH($E125,'Vessel Valuations'!$C$34:$C$40,0))</f>
        <v>39.915384615384625</v>
      </c>
      <c r="T125" s="93">
        <f t="shared" ca="1" si="49"/>
        <v>7382.1072918252921</v>
      </c>
      <c r="U125" s="93">
        <f t="shared" ca="1" si="50"/>
        <v>379.12890973916302</v>
      </c>
      <c r="V125" s="93">
        <f t="shared" ca="1" si="51"/>
        <v>19.471232876712328</v>
      </c>
      <c r="W125" s="93">
        <f t="shared" ca="1" si="52"/>
        <v>1</v>
      </c>
      <c r="AI125" s="21"/>
      <c r="AJ125" s="21"/>
    </row>
    <row r="126" spans="3:36" s="20" customFormat="1" ht="12.95" customHeight="1" x14ac:dyDescent="0.25">
      <c r="C126" s="17" t="s">
        <v>523</v>
      </c>
      <c r="D126" s="59" t="s">
        <v>18</v>
      </c>
      <c r="E126" s="91" t="str">
        <f t="shared" si="53"/>
        <v>Panamax</v>
      </c>
      <c r="F126" s="78">
        <v>1</v>
      </c>
      <c r="G126" s="79">
        <v>0</v>
      </c>
      <c r="H126" s="79">
        <v>0</v>
      </c>
      <c r="I126" s="59">
        <v>75845</v>
      </c>
      <c r="J126" s="83">
        <v>37987</v>
      </c>
      <c r="K126" s="83">
        <f t="shared" ca="1" si="45"/>
        <v>45460</v>
      </c>
      <c r="L126" s="82">
        <f t="shared" ca="1" si="46"/>
        <v>20.473972602739725</v>
      </c>
      <c r="M126" s="59">
        <f t="shared" ca="1" si="47"/>
        <v>9.1956665156817863</v>
      </c>
      <c r="N126" s="59">
        <f t="shared" ca="1" si="48"/>
        <v>9.1956665156817863</v>
      </c>
      <c r="O126"/>
      <c r="P126" s="90">
        <f>INDEX('Vessel Valuations'!F$34:F$40,MATCH($E126,'Vessel Valuations'!$C$34:$C$40,0))</f>
        <v>-5.5089355089355104E-4</v>
      </c>
      <c r="Q126" s="90">
        <f>INDEX('Vessel Valuations'!G$34:G$40,MATCH($E126,'Vessel Valuations'!$C$34:$C$40,0))</f>
        <v>6.7377622377622431E-2</v>
      </c>
      <c r="R126" s="90">
        <f>INDEX('Vessel Valuations'!H$34:H$40,MATCH($E126,'Vessel Valuations'!$C$34:$C$40,0))</f>
        <v>-2.6489898989899006</v>
      </c>
      <c r="S126" s="90">
        <f>INDEX('Vessel Valuations'!I$34:I$40,MATCH($E126,'Vessel Valuations'!$C$34:$C$40,0))</f>
        <v>39.915384615384625</v>
      </c>
      <c r="T126" s="93">
        <f t="shared" ca="1" si="49"/>
        <v>8582.3526029350887</v>
      </c>
      <c r="U126" s="93">
        <f t="shared" ca="1" si="50"/>
        <v>419.18355413773685</v>
      </c>
      <c r="V126" s="93">
        <f t="shared" ca="1" si="51"/>
        <v>20.473972602739725</v>
      </c>
      <c r="W126" s="93">
        <f t="shared" ca="1" si="52"/>
        <v>1</v>
      </c>
      <c r="AI126" s="21"/>
      <c r="AJ126" s="21"/>
    </row>
    <row r="127" spans="3:36" s="20" customFormat="1" ht="12.95" customHeight="1" x14ac:dyDescent="0.25">
      <c r="C127" s="17" t="s">
        <v>524</v>
      </c>
      <c r="D127" s="59" t="s">
        <v>18</v>
      </c>
      <c r="E127" s="91" t="str">
        <f t="shared" si="53"/>
        <v>Panamax</v>
      </c>
      <c r="F127" s="78">
        <v>1</v>
      </c>
      <c r="G127" s="79">
        <v>0</v>
      </c>
      <c r="H127" s="79">
        <v>0</v>
      </c>
      <c r="I127" s="59">
        <v>75100</v>
      </c>
      <c r="J127" s="83">
        <v>36526</v>
      </c>
      <c r="K127" s="83">
        <f t="shared" ca="1" si="45"/>
        <v>45460</v>
      </c>
      <c r="L127" s="82">
        <f t="shared" ca="1" si="46"/>
        <v>24.476712328767125</v>
      </c>
      <c r="M127" s="59">
        <f t="shared" ca="1" si="47"/>
        <v>7.3649614391867786</v>
      </c>
      <c r="N127" s="59">
        <f t="shared" ca="1" si="48"/>
        <v>7.3649614391867786</v>
      </c>
      <c r="O127"/>
      <c r="P127" s="90">
        <f>INDEX('Vessel Valuations'!F$34:F$40,MATCH($E127,'Vessel Valuations'!$C$34:$C$40,0))</f>
        <v>-5.5089355089355104E-4</v>
      </c>
      <c r="Q127" s="90">
        <f>INDEX('Vessel Valuations'!G$34:G$40,MATCH($E127,'Vessel Valuations'!$C$34:$C$40,0))</f>
        <v>6.7377622377622431E-2</v>
      </c>
      <c r="R127" s="90">
        <f>INDEX('Vessel Valuations'!H$34:H$40,MATCH($E127,'Vessel Valuations'!$C$34:$C$40,0))</f>
        <v>-2.6489898989899006</v>
      </c>
      <c r="S127" s="90">
        <f>INDEX('Vessel Valuations'!I$34:I$40,MATCH($E127,'Vessel Valuations'!$C$34:$C$40,0))</f>
        <v>39.915384615384625</v>
      </c>
      <c r="T127" s="93">
        <f t="shared" ca="1" si="49"/>
        <v>14664.229573597042</v>
      </c>
      <c r="U127" s="93">
        <f t="shared" ca="1" si="50"/>
        <v>599.10944642522054</v>
      </c>
      <c r="V127" s="93">
        <f t="shared" ca="1" si="51"/>
        <v>24.476712328767125</v>
      </c>
      <c r="W127" s="93">
        <f t="shared" ca="1" si="52"/>
        <v>1</v>
      </c>
      <c r="AI127" s="21"/>
      <c r="AJ127" s="21"/>
    </row>
    <row r="128" spans="3:36" s="20" customFormat="1" ht="12.95" customHeight="1" x14ac:dyDescent="0.25">
      <c r="C128" s="17" t="s">
        <v>525</v>
      </c>
      <c r="D128" s="59" t="s">
        <v>18</v>
      </c>
      <c r="E128" s="91" t="str">
        <f>D128</f>
        <v>Panamax</v>
      </c>
      <c r="F128" s="78">
        <v>1</v>
      </c>
      <c r="G128" s="79">
        <v>0</v>
      </c>
      <c r="H128" s="79">
        <v>0</v>
      </c>
      <c r="I128" s="59">
        <v>76704</v>
      </c>
      <c r="J128" s="83">
        <v>37987</v>
      </c>
      <c r="K128" s="83">
        <f t="shared" ca="1" si="45"/>
        <v>45460</v>
      </c>
      <c r="L128" s="82">
        <f t="shared" ca="1" si="46"/>
        <v>20.473972602739725</v>
      </c>
      <c r="M128" s="59">
        <f t="shared" ca="1" si="47"/>
        <v>9.1956665156817863</v>
      </c>
      <c r="N128" s="59">
        <f t="shared" ca="1" si="48"/>
        <v>9.1956665156817863</v>
      </c>
      <c r="O128"/>
      <c r="P128" s="90">
        <f>INDEX('Vessel Valuations'!F$34:F$40,MATCH($E128,'Vessel Valuations'!$C$34:$C$40,0))</f>
        <v>-5.5089355089355104E-4</v>
      </c>
      <c r="Q128" s="90">
        <f>INDEX('Vessel Valuations'!G$34:G$40,MATCH($E128,'Vessel Valuations'!$C$34:$C$40,0))</f>
        <v>6.7377622377622431E-2</v>
      </c>
      <c r="R128" s="90">
        <f>INDEX('Vessel Valuations'!H$34:H$40,MATCH($E128,'Vessel Valuations'!$C$34:$C$40,0))</f>
        <v>-2.6489898989899006</v>
      </c>
      <c r="S128" s="90">
        <f>INDEX('Vessel Valuations'!I$34:I$40,MATCH($E128,'Vessel Valuations'!$C$34:$C$40,0))</f>
        <v>39.915384615384625</v>
      </c>
      <c r="T128" s="93">
        <f t="shared" ca="1" si="49"/>
        <v>8582.3526029350887</v>
      </c>
      <c r="U128" s="93">
        <f t="shared" ca="1" si="50"/>
        <v>419.18355413773685</v>
      </c>
      <c r="V128" s="93">
        <f t="shared" ca="1" si="51"/>
        <v>20.473972602739725</v>
      </c>
      <c r="W128" s="93">
        <f t="shared" ca="1" si="52"/>
        <v>1</v>
      </c>
      <c r="AI128" s="21"/>
      <c r="AJ128" s="21"/>
    </row>
    <row r="129" spans="3:36" s="20" customFormat="1" x14ac:dyDescent="0.2">
      <c r="D129" s="2"/>
      <c r="F129" s="34"/>
      <c r="G129" s="34"/>
      <c r="H129" s="1"/>
      <c r="I129" s="55"/>
      <c r="J129" s="55"/>
      <c r="K129" s="56"/>
      <c r="L129" s="1"/>
      <c r="M129" s="1"/>
      <c r="N129" s="1"/>
      <c r="O129" s="1"/>
      <c r="P129" s="1"/>
      <c r="Q129" s="1"/>
      <c r="R129" s="1"/>
      <c r="AI129" s="21"/>
      <c r="AJ129" s="21"/>
    </row>
    <row r="130" spans="3:36" s="20" customFormat="1" ht="12.95" customHeight="1" x14ac:dyDescent="0.25">
      <c r="C130" s="49" t="s">
        <v>704</v>
      </c>
      <c r="D130" s="52" t="s">
        <v>37</v>
      </c>
      <c r="F130" s="34"/>
      <c r="G130" s="34"/>
      <c r="H130" s="1"/>
      <c r="I130" s="55"/>
      <c r="J130" s="55"/>
      <c r="K130"/>
      <c r="L130"/>
      <c r="M130"/>
      <c r="N130"/>
      <c r="O130"/>
      <c r="P130" s="1"/>
      <c r="Q130" s="1"/>
      <c r="R130" s="1"/>
      <c r="AI130" s="21"/>
      <c r="AJ130" s="21"/>
    </row>
    <row r="131" spans="3:36" s="20" customFormat="1" ht="12.95" customHeight="1" x14ac:dyDescent="0.25">
      <c r="C131" s="17" t="s">
        <v>705</v>
      </c>
      <c r="D131" s="39">
        <f ca="1">+SUM(N116:N128)</f>
        <v>194.15400350351746</v>
      </c>
      <c r="F131" s="34"/>
      <c r="G131" s="34"/>
      <c r="H131" s="1"/>
      <c r="I131" s="55"/>
      <c r="J131" s="55"/>
      <c r="K131"/>
      <c r="L131"/>
      <c r="M131"/>
      <c r="N131"/>
      <c r="O131"/>
      <c r="P131" s="1"/>
      <c r="Q131" s="1"/>
      <c r="R131" s="1"/>
      <c r="AI131" s="21"/>
      <c r="AJ131" s="21"/>
    </row>
    <row r="132" spans="3:36" s="20" customFormat="1" ht="12.95" customHeight="1" x14ac:dyDescent="0.25">
      <c r="C132" s="17" t="s">
        <v>706</v>
      </c>
      <c r="D132" s="39">
        <f>+T107</f>
        <v>14.313988999999999</v>
      </c>
      <c r="F132" s="34"/>
      <c r="G132" s="34"/>
      <c r="H132" s="1"/>
      <c r="I132" s="55"/>
      <c r="J132" s="55"/>
      <c r="K132"/>
      <c r="L132"/>
      <c r="M132"/>
      <c r="N132"/>
      <c r="O132"/>
      <c r="P132" s="1"/>
      <c r="Q132" s="1"/>
      <c r="R132" s="1"/>
      <c r="AI132" s="21"/>
      <c r="AJ132" s="21"/>
    </row>
    <row r="133" spans="3:36" s="20" customFormat="1" ht="12.95" customHeight="1" x14ac:dyDescent="0.25">
      <c r="C133" s="17" t="s">
        <v>707</v>
      </c>
      <c r="D133" s="39">
        <v>0</v>
      </c>
      <c r="E133" s="17"/>
      <c r="F133" s="17"/>
      <c r="G133" s="1"/>
      <c r="H133" s="1"/>
      <c r="I133" s="1"/>
      <c r="J133" s="1"/>
      <c r="K133"/>
      <c r="L133"/>
      <c r="M133"/>
      <c r="N133"/>
      <c r="O133"/>
      <c r="P133" s="1"/>
      <c r="Q133" s="1"/>
      <c r="R133" s="1"/>
      <c r="AI133" s="21"/>
      <c r="AJ133" s="21"/>
    </row>
    <row r="134" spans="3:36" s="20" customFormat="1" ht="12.95" customHeight="1" x14ac:dyDescent="0.25">
      <c r="C134" s="17" t="s">
        <v>708</v>
      </c>
      <c r="D134" s="39">
        <f>+T109</f>
        <v>7.4145400000000006</v>
      </c>
      <c r="E134" s="17"/>
      <c r="F134" s="17"/>
      <c r="G134" s="1"/>
      <c r="H134" s="1"/>
      <c r="I134" s="1"/>
      <c r="J134" s="1"/>
      <c r="K134"/>
      <c r="L134"/>
      <c r="M134"/>
      <c r="N134"/>
      <c r="O134"/>
      <c r="P134" s="1"/>
      <c r="Q134" s="1"/>
      <c r="R134" s="1"/>
      <c r="AI134" s="21"/>
      <c r="AJ134" s="21"/>
    </row>
    <row r="135" spans="3:36" s="20" customFormat="1" ht="12.95" customHeight="1" x14ac:dyDescent="0.25">
      <c r="C135" s="17" t="s">
        <v>709</v>
      </c>
      <c r="D135" s="39">
        <f>-S106</f>
        <v>-88.00609399999999</v>
      </c>
      <c r="E135" s="17"/>
      <c r="F135" s="17"/>
      <c r="G135" s="1"/>
      <c r="H135" s="1"/>
      <c r="I135" s="1"/>
      <c r="J135" s="1"/>
      <c r="K135"/>
      <c r="L135"/>
      <c r="M135"/>
      <c r="N135"/>
      <c r="O135"/>
      <c r="P135" s="1"/>
      <c r="Q135" s="1"/>
      <c r="R135" s="1"/>
      <c r="AI135" s="21"/>
      <c r="AJ135" s="21"/>
    </row>
    <row r="136" spans="3:36" s="20" customFormat="1" ht="12.95" customHeight="1" x14ac:dyDescent="0.25">
      <c r="C136" s="17" t="s">
        <v>710</v>
      </c>
      <c r="D136" s="39">
        <v>0</v>
      </c>
      <c r="E136" s="17"/>
      <c r="F136" s="17"/>
      <c r="G136" s="1"/>
      <c r="H136" s="1"/>
      <c r="I136" s="1"/>
      <c r="J136" s="1"/>
      <c r="K136"/>
      <c r="L136"/>
      <c r="M136"/>
      <c r="N136"/>
      <c r="O136"/>
      <c r="P136" s="1"/>
      <c r="Q136" s="1"/>
      <c r="R136" s="1"/>
      <c r="AI136" s="21"/>
      <c r="AJ136" s="21"/>
    </row>
    <row r="137" spans="3:36" s="20" customFormat="1" ht="12.95" customHeight="1" x14ac:dyDescent="0.25">
      <c r="C137" s="17" t="s">
        <v>715</v>
      </c>
      <c r="D137" s="39">
        <f>-T98</f>
        <v>-9.7659319999999994</v>
      </c>
      <c r="E137" s="17"/>
      <c r="F137" s="17"/>
      <c r="G137" s="1"/>
      <c r="H137" s="1"/>
      <c r="I137" s="1"/>
      <c r="J137" s="1"/>
      <c r="K137"/>
      <c r="L137"/>
      <c r="M137"/>
      <c r="N137"/>
      <c r="O137"/>
      <c r="P137" s="1"/>
      <c r="Q137" s="1"/>
      <c r="R137" s="1"/>
      <c r="AI137" s="21"/>
      <c r="AJ137" s="21"/>
    </row>
    <row r="138" spans="3:36" s="20" customFormat="1" ht="12.95" customHeight="1" x14ac:dyDescent="0.25">
      <c r="C138" s="17" t="s">
        <v>711</v>
      </c>
      <c r="D138" s="84">
        <f ca="1">+SUM(D131:D137)</f>
        <v>118.11050650351746</v>
      </c>
      <c r="E138" s="17"/>
      <c r="F138" s="17"/>
      <c r="G138" s="1"/>
      <c r="H138" s="1"/>
      <c r="I138" s="1"/>
      <c r="J138" s="1"/>
      <c r="K138"/>
      <c r="L138"/>
      <c r="M138"/>
      <c r="N138"/>
      <c r="O138"/>
      <c r="P138" s="1"/>
      <c r="Q138" s="1"/>
      <c r="R138" s="1"/>
      <c r="AI138" s="21"/>
      <c r="AJ138" s="21"/>
    </row>
    <row r="139" spans="3:36" s="20" customFormat="1" ht="12.95" customHeight="1" x14ac:dyDescent="0.25">
      <c r="C139" s="17"/>
      <c r="D139" s="21"/>
      <c r="E139" s="17"/>
      <c r="F139" s="17"/>
      <c r="G139" s="1"/>
      <c r="H139" s="1"/>
      <c r="I139" s="1"/>
      <c r="J139" s="1"/>
      <c r="K139"/>
      <c r="L139"/>
      <c r="M139"/>
      <c r="N139"/>
      <c r="O139"/>
      <c r="P139" s="1"/>
      <c r="Q139" s="1"/>
      <c r="R139" s="1"/>
      <c r="AI139" s="21"/>
      <c r="AJ139" s="21"/>
    </row>
    <row r="140" spans="3:36" s="20" customFormat="1" ht="12.95" customHeight="1" x14ac:dyDescent="0.25">
      <c r="C140" s="17" t="s">
        <v>712</v>
      </c>
      <c r="D140" s="39">
        <f>+T104</f>
        <v>2.7606850000000001</v>
      </c>
      <c r="E140" s="17"/>
      <c r="F140" s="17"/>
      <c r="G140" s="1"/>
      <c r="H140" s="1"/>
      <c r="I140" s="1"/>
      <c r="J140" s="1"/>
      <c r="K140"/>
      <c r="L140"/>
      <c r="M140"/>
      <c r="N140"/>
      <c r="O140"/>
      <c r="P140" s="1"/>
      <c r="Q140" s="1"/>
      <c r="R140" s="1"/>
      <c r="AI140" s="21"/>
      <c r="AJ140" s="21"/>
    </row>
    <row r="141" spans="3:36" s="20" customFormat="1" ht="5.0999999999999996" customHeight="1" x14ac:dyDescent="0.2">
      <c r="C141" s="17"/>
      <c r="D141" s="21"/>
      <c r="E141" s="17"/>
      <c r="F141" s="17"/>
      <c r="G141" s="1"/>
      <c r="H141" s="1"/>
      <c r="I141" s="1"/>
      <c r="J141" s="1"/>
      <c r="N141" s="1"/>
      <c r="O141" s="1"/>
      <c r="P141" s="1"/>
      <c r="Q141" s="1"/>
      <c r="R141" s="1"/>
      <c r="AI141" s="21"/>
      <c r="AJ141" s="21"/>
    </row>
    <row r="142" spans="3:36" s="20" customFormat="1" x14ac:dyDescent="0.2">
      <c r="C142" s="17" t="s">
        <v>713</v>
      </c>
      <c r="D142" s="37">
        <f ca="1">+D138/D140</f>
        <v>42.783043521270066</v>
      </c>
      <c r="E142" s="17"/>
      <c r="F142" s="17"/>
      <c r="G142" s="1"/>
      <c r="H142" s="1"/>
      <c r="I142" s="1"/>
      <c r="J142" s="1"/>
      <c r="N142" s="1"/>
      <c r="O142" s="1"/>
      <c r="P142" s="1"/>
      <c r="Q142" s="1"/>
      <c r="R142" s="1"/>
      <c r="AI142" s="21"/>
      <c r="AJ142" s="21"/>
    </row>
    <row r="143" spans="3:36" s="20" customFormat="1" x14ac:dyDescent="0.2">
      <c r="C143" s="17" t="s">
        <v>714</v>
      </c>
      <c r="D143" s="21"/>
      <c r="E143" s="17"/>
      <c r="F143" s="17"/>
      <c r="G143" s="1"/>
      <c r="H143" s="1"/>
      <c r="I143" s="1"/>
      <c r="J143" s="1"/>
      <c r="K143" s="1"/>
      <c r="L143" s="1"/>
      <c r="M143" s="1"/>
      <c r="N143" s="1"/>
      <c r="O143" s="1"/>
      <c r="P143" s="1"/>
      <c r="Q143" s="1"/>
      <c r="R143" s="1"/>
      <c r="AI143" s="21"/>
      <c r="AJ143" s="21"/>
    </row>
    <row r="144" spans="3:36" s="20" customFormat="1" ht="5.0999999999999996" customHeight="1" x14ac:dyDescent="0.2">
      <c r="C144" s="17"/>
      <c r="D144" s="21"/>
      <c r="E144" s="17"/>
      <c r="F144" s="17"/>
      <c r="G144" s="1"/>
      <c r="H144" s="1"/>
      <c r="I144" s="1"/>
      <c r="J144" s="1"/>
      <c r="K144" s="1"/>
      <c r="L144" s="1"/>
      <c r="M144" s="1"/>
      <c r="N144" s="1"/>
      <c r="O144" s="1"/>
      <c r="P144" s="1"/>
      <c r="Q144" s="1"/>
      <c r="R144" s="1"/>
      <c r="AI144" s="21"/>
      <c r="AJ144" s="21"/>
    </row>
    <row r="145" spans="3:36" s="20" customFormat="1" x14ac:dyDescent="0.2">
      <c r="C145" s="17" t="e" vm="4">
        <v>#VALUE!</v>
      </c>
      <c r="D145" s="85" cm="1">
        <f t="array" ref="D145">_FV(C145,"Precio")</f>
        <v>20.2</v>
      </c>
      <c r="E145" s="17"/>
      <c r="F145" s="17"/>
      <c r="G145" s="1"/>
      <c r="H145" s="1"/>
      <c r="I145" s="1"/>
      <c r="J145" s="1"/>
      <c r="K145" s="1"/>
      <c r="L145" s="1"/>
      <c r="M145" s="1"/>
      <c r="N145" s="1"/>
      <c r="O145" s="1"/>
      <c r="P145" s="1"/>
      <c r="Q145" s="1"/>
      <c r="R145" s="1"/>
      <c r="AI145" s="21"/>
      <c r="AJ145" s="21"/>
    </row>
    <row r="146" spans="3:36" s="20" customFormat="1" x14ac:dyDescent="0.2">
      <c r="C146" s="17" t="s">
        <v>716</v>
      </c>
      <c r="D146" s="84">
        <f>+D145*D140</f>
        <v>55.765836999999998</v>
      </c>
      <c r="E146" s="17"/>
      <c r="F146" s="17"/>
      <c r="G146" s="1"/>
      <c r="H146" s="1"/>
      <c r="I146" s="1"/>
      <c r="J146" s="1"/>
      <c r="K146" s="1"/>
      <c r="L146" s="1"/>
      <c r="M146" s="1"/>
      <c r="N146" s="1"/>
      <c r="O146" s="1"/>
      <c r="P146" s="1"/>
      <c r="Q146" s="1"/>
      <c r="R146" s="1"/>
      <c r="AI146" s="21"/>
      <c r="AJ146" s="21"/>
    </row>
    <row r="147" spans="3:36" s="20" customFormat="1" x14ac:dyDescent="0.2">
      <c r="C147" s="17"/>
      <c r="D147" s="17"/>
      <c r="E147" s="17"/>
      <c r="F147" s="17"/>
      <c r="G147" s="1"/>
      <c r="H147" s="1"/>
      <c r="I147" s="1"/>
      <c r="J147" s="1"/>
      <c r="K147" s="1"/>
      <c r="L147" s="1"/>
      <c r="M147" s="1"/>
      <c r="N147" s="1"/>
      <c r="O147" s="1"/>
      <c r="P147" s="1"/>
      <c r="Q147" s="1"/>
      <c r="R147" s="1"/>
      <c r="AI147" s="21"/>
      <c r="AJ147" s="21"/>
    </row>
    <row r="148" spans="3:36" s="20" customFormat="1" x14ac:dyDescent="0.2">
      <c r="C148" s="49" t="s">
        <v>717</v>
      </c>
      <c r="D148" s="49"/>
      <c r="E148" s="49"/>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I148" s="21"/>
      <c r="AJ148" s="21"/>
    </row>
    <row r="149" spans="3:36" s="20" customFormat="1" x14ac:dyDescent="0.2">
      <c r="C149" s="17" t="s">
        <v>516</v>
      </c>
      <c r="D149" s="59" t="s">
        <v>526</v>
      </c>
      <c r="E149" s="1"/>
      <c r="F149" s="1"/>
      <c r="G149" s="1"/>
      <c r="H149" s="1"/>
      <c r="I149" s="1"/>
      <c r="J149" s="1"/>
      <c r="K149" s="1"/>
      <c r="L149" s="1"/>
      <c r="M149" s="1"/>
      <c r="N149" s="1"/>
      <c r="O149" s="1"/>
      <c r="P149" s="1"/>
      <c r="Q149" s="1"/>
      <c r="R149" s="1"/>
      <c r="U149" s="40">
        <f>105.5%*'FFA &amp; Spot Rates'!E9</f>
        <v>11830.769999999999</v>
      </c>
      <c r="V149" s="40">
        <f>105.5%*'FFA &amp; Spot Rates'!F9</f>
        <v>13585.234999999999</v>
      </c>
      <c r="W149" s="40">
        <f>105.5%*'FFA &amp; Spot Rates'!G9</f>
        <v>16316.63</v>
      </c>
      <c r="X149" s="40">
        <f>105.5%*'FFA &amp; Spot Rates'!H9</f>
        <v>17473.965</v>
      </c>
      <c r="Y149" s="34"/>
      <c r="Z149" s="40">
        <f>105.5%*'FFA &amp; Spot Rates'!J9</f>
        <v>12332.949999999999</v>
      </c>
      <c r="AA149" s="40">
        <f>105.5%*'FFA &amp; Spot Rates'!K9</f>
        <v>16622.579999999998</v>
      </c>
      <c r="AB149" s="40">
        <f>105.5%*'FFA &amp; Spot Rates'!L9</f>
        <v>21447.094999999998</v>
      </c>
      <c r="AC149" s="40">
        <f>105.5%*'FFA &amp; Spot Rates'!M9</f>
        <v>20478.605</v>
      </c>
      <c r="AD149" s="34"/>
      <c r="AI149" s="21"/>
      <c r="AJ149" s="21"/>
    </row>
    <row r="150" spans="3:36" s="20" customFormat="1" x14ac:dyDescent="0.2">
      <c r="C150" s="17" t="s">
        <v>517</v>
      </c>
      <c r="D150" s="59" t="s">
        <v>526</v>
      </c>
      <c r="E150" s="1"/>
      <c r="F150" s="1"/>
      <c r="G150" s="1"/>
      <c r="H150" s="1"/>
      <c r="I150" s="1"/>
      <c r="J150" s="1"/>
      <c r="K150" s="1"/>
      <c r="L150" s="1"/>
      <c r="M150" s="1"/>
      <c r="N150" s="1"/>
      <c r="O150" s="1"/>
      <c r="P150" s="1"/>
      <c r="Q150" s="1"/>
      <c r="R150" s="1"/>
      <c r="U150" s="40">
        <f>105.5%*'FFA &amp; Spot Rates'!E9</f>
        <v>11830.769999999999</v>
      </c>
      <c r="V150" s="40">
        <f>105.5%*'FFA &amp; Spot Rates'!F9</f>
        <v>13585.234999999999</v>
      </c>
      <c r="W150" s="40">
        <f>105.5%*'FFA &amp; Spot Rates'!G9</f>
        <v>16316.63</v>
      </c>
      <c r="X150" s="40">
        <f>105.5%*'FFA &amp; Spot Rates'!H9</f>
        <v>17473.965</v>
      </c>
      <c r="Y150" s="34"/>
      <c r="Z150" s="40">
        <f>105.5%*'FFA &amp; Spot Rates'!J9</f>
        <v>12332.949999999999</v>
      </c>
      <c r="AA150" s="40">
        <f>105.5%*'FFA &amp; Spot Rates'!K9</f>
        <v>16622.579999999998</v>
      </c>
      <c r="AB150" s="40">
        <f>105.5%*'FFA &amp; Spot Rates'!L9</f>
        <v>21447.094999999998</v>
      </c>
      <c r="AC150" s="40">
        <f>105.5%*'FFA &amp; Spot Rates'!M9</f>
        <v>20478.605</v>
      </c>
      <c r="AD150" s="34"/>
      <c r="AI150" s="21"/>
      <c r="AJ150" s="21"/>
    </row>
    <row r="151" spans="3:36" s="20" customFormat="1" x14ac:dyDescent="0.2">
      <c r="C151" s="17" t="s">
        <v>518</v>
      </c>
      <c r="D151" s="59" t="s">
        <v>73</v>
      </c>
      <c r="E151" s="1"/>
      <c r="F151" s="1"/>
      <c r="G151" s="1"/>
      <c r="H151" s="1"/>
      <c r="I151" s="1"/>
      <c r="J151" s="1"/>
      <c r="K151" s="1"/>
      <c r="L151" s="1"/>
      <c r="M151" s="1"/>
      <c r="N151" s="1"/>
      <c r="O151" s="1"/>
      <c r="P151" s="1"/>
      <c r="Q151" s="1"/>
      <c r="R151" s="1"/>
      <c r="U151" s="40">
        <f>2750+7333.33333333333+'FFA &amp; Spot Rates'!E12/3</f>
        <v>14555.683333333331</v>
      </c>
      <c r="V151" s="40">
        <f>+'FFA &amp; Spot Rates'!F12</f>
        <v>13269.849999999999</v>
      </c>
      <c r="W151" s="40">
        <f>+'FFA &amp; Spot Rates'!G12</f>
        <v>16520.899999999998</v>
      </c>
      <c r="X151" s="40">
        <f>+'FFA &amp; Spot Rates'!H12</f>
        <v>17898.599999999999</v>
      </c>
      <c r="Y151" s="34"/>
      <c r="Z151" s="40">
        <f>+'FFA &amp; Spot Rates'!J12</f>
        <v>11778.3</v>
      </c>
      <c r="AA151" s="40">
        <f>+'FFA &amp; Spot Rates'!K12</f>
        <v>17729.55</v>
      </c>
      <c r="AB151" s="40">
        <f>+'FFA &amp; Spot Rates'!L12</f>
        <v>23761.3</v>
      </c>
      <c r="AC151" s="40">
        <f>+'FFA &amp; Spot Rates'!M12</f>
        <v>22550.35</v>
      </c>
      <c r="AD151" s="34"/>
      <c r="AI151" s="21"/>
      <c r="AJ151" s="21"/>
    </row>
    <row r="152" spans="3:36" s="20" customFormat="1" x14ac:dyDescent="0.2">
      <c r="C152" s="17" t="s">
        <v>527</v>
      </c>
      <c r="D152" s="59" t="s">
        <v>73</v>
      </c>
      <c r="E152" s="1"/>
      <c r="F152" s="1"/>
      <c r="G152" s="1"/>
      <c r="H152" s="1"/>
      <c r="I152" s="1"/>
      <c r="J152" s="1"/>
      <c r="K152" s="1"/>
      <c r="L152" s="1"/>
      <c r="M152" s="1"/>
      <c r="N152" s="1"/>
      <c r="O152" s="1"/>
      <c r="P152" s="1"/>
      <c r="Q152" s="1"/>
      <c r="R152" s="1"/>
      <c r="U152" s="40">
        <f>5000+2500+2800+'FFA &amp; Spot Rates'!E12/6</f>
        <v>12536.174999999999</v>
      </c>
      <c r="V152" s="40">
        <f>+'FFA &amp; Spot Rates'!F12</f>
        <v>13269.849999999999</v>
      </c>
      <c r="W152" s="40">
        <f>+'FFA &amp; Spot Rates'!G12</f>
        <v>16520.899999999998</v>
      </c>
      <c r="X152" s="40">
        <f>+'FFA &amp; Spot Rates'!H12</f>
        <v>17898.599999999999</v>
      </c>
      <c r="Y152" s="34"/>
      <c r="Z152" s="40">
        <f>+'FFA &amp; Spot Rates'!J12</f>
        <v>11778.3</v>
      </c>
      <c r="AA152" s="40">
        <f>+'FFA &amp; Spot Rates'!K12</f>
        <v>17729.55</v>
      </c>
      <c r="AB152" s="40">
        <f>+'FFA &amp; Spot Rates'!L12</f>
        <v>23761.3</v>
      </c>
      <c r="AC152" s="40">
        <f>+'FFA &amp; Spot Rates'!M12</f>
        <v>22550.35</v>
      </c>
      <c r="AD152" s="34"/>
      <c r="AI152" s="21"/>
      <c r="AJ152" s="21"/>
    </row>
    <row r="153" spans="3:36" s="20" customFormat="1" x14ac:dyDescent="0.2">
      <c r="C153" s="17" t="s">
        <v>528</v>
      </c>
      <c r="D153" s="59" t="s">
        <v>73</v>
      </c>
      <c r="E153" s="1"/>
      <c r="F153" s="1"/>
      <c r="G153" s="1"/>
      <c r="H153" s="1"/>
      <c r="I153" s="1"/>
      <c r="J153" s="1"/>
      <c r="K153" s="1"/>
      <c r="L153" s="1"/>
      <c r="M153" s="1"/>
      <c r="N153" s="1"/>
      <c r="O153" s="1"/>
      <c r="P153" s="1"/>
      <c r="Q153" s="1"/>
      <c r="R153" s="1"/>
      <c r="U153" s="40">
        <f>2000+3066.66666666667+2583.33333333333+'FFA &amp; Spot Rates'!E11/6</f>
        <v>10333.41</v>
      </c>
      <c r="V153" s="40">
        <f>+'FFA &amp; Spot Rates'!F12</f>
        <v>13269.849999999999</v>
      </c>
      <c r="W153" s="40">
        <f>+'FFA &amp; Spot Rates'!G12</f>
        <v>16520.899999999998</v>
      </c>
      <c r="X153" s="40">
        <f>+'FFA &amp; Spot Rates'!H12</f>
        <v>17898.599999999999</v>
      </c>
      <c r="Y153" s="34"/>
      <c r="Z153" s="40">
        <f>+'FFA &amp; Spot Rates'!J12</f>
        <v>11778.3</v>
      </c>
      <c r="AA153" s="40">
        <f>+'FFA &amp; Spot Rates'!K12</f>
        <v>17729.55</v>
      </c>
      <c r="AB153" s="40">
        <f>+'FFA &amp; Spot Rates'!L12</f>
        <v>23761.3</v>
      </c>
      <c r="AC153" s="40">
        <f>+'FFA &amp; Spot Rates'!M12</f>
        <v>22550.35</v>
      </c>
      <c r="AD153" s="34"/>
      <c r="AI153" s="21"/>
      <c r="AJ153" s="21"/>
    </row>
    <row r="154" spans="3:36" x14ac:dyDescent="0.2">
      <c r="C154" s="17" t="s">
        <v>529</v>
      </c>
      <c r="D154" s="59" t="s">
        <v>73</v>
      </c>
      <c r="U154" s="40">
        <f>3866.66666666667+2250+'FFA &amp; Spot Rates'!E12/3</f>
        <v>10589.01666666667</v>
      </c>
      <c r="V154" s="40">
        <f>+'FFA &amp; Spot Rates'!F12</f>
        <v>13269.849999999999</v>
      </c>
      <c r="W154" s="40">
        <f>+'FFA &amp; Spot Rates'!G12</f>
        <v>16520.899999999998</v>
      </c>
      <c r="X154" s="40">
        <f>+'FFA &amp; Spot Rates'!H12</f>
        <v>17898.599999999999</v>
      </c>
      <c r="Y154" s="34"/>
      <c r="Z154" s="40">
        <f>+'FFA &amp; Spot Rates'!J12</f>
        <v>11778.3</v>
      </c>
      <c r="AA154" s="40">
        <f>+'FFA &amp; Spot Rates'!K12</f>
        <v>17729.55</v>
      </c>
      <c r="AB154" s="40">
        <f>+'FFA &amp; Spot Rates'!L12</f>
        <v>23761.3</v>
      </c>
      <c r="AC154" s="40">
        <f>+'FFA &amp; Spot Rates'!M12</f>
        <v>22550.35</v>
      </c>
      <c r="AD154" s="34"/>
    </row>
    <row r="155" spans="3:36" x14ac:dyDescent="0.2">
      <c r="C155" s="17" t="s">
        <v>519</v>
      </c>
      <c r="D155" s="59" t="s">
        <v>73</v>
      </c>
      <c r="U155" s="40">
        <f>1875+3375+6750+'FFA &amp; Spot Rates'!E12/3</f>
        <v>16472.349999999999</v>
      </c>
      <c r="V155" s="40">
        <f>+'FFA &amp; Spot Rates'!F12</f>
        <v>13269.849999999999</v>
      </c>
      <c r="W155" s="40">
        <f>+'FFA &amp; Spot Rates'!G12</f>
        <v>16520.899999999998</v>
      </c>
      <c r="X155" s="40">
        <f>+'FFA &amp; Spot Rates'!H12</f>
        <v>17898.599999999999</v>
      </c>
      <c r="Y155" s="34"/>
      <c r="Z155" s="40">
        <f>+'FFA &amp; Spot Rates'!J12</f>
        <v>11778.3</v>
      </c>
      <c r="AA155" s="40">
        <f>+'FFA &amp; Spot Rates'!K12</f>
        <v>17729.55</v>
      </c>
      <c r="AB155" s="40">
        <f>+'FFA &amp; Spot Rates'!L12</f>
        <v>23761.3</v>
      </c>
      <c r="AC155" s="40">
        <f>+'FFA &amp; Spot Rates'!M12</f>
        <v>22550.35</v>
      </c>
      <c r="AD155" s="34"/>
    </row>
    <row r="156" spans="3:36" x14ac:dyDescent="0.2">
      <c r="C156" s="17" t="s">
        <v>520</v>
      </c>
      <c r="D156" s="59" t="s">
        <v>20</v>
      </c>
      <c r="U156" s="40">
        <f>4216.66666666667+1333.33333333333+'FFA &amp; Spot Rates'!E15/3+'FFA &amp; Spot Rates'!E15/6</f>
        <v>11383.5</v>
      </c>
      <c r="V156" s="40">
        <f>+'FFA &amp; Spot Rates'!F9</f>
        <v>12877</v>
      </c>
      <c r="W156" s="40">
        <f>+'FFA &amp; Spot Rates'!G9</f>
        <v>15466</v>
      </c>
      <c r="X156" s="40">
        <f>+'FFA &amp; Spot Rates'!H9</f>
        <v>16563</v>
      </c>
      <c r="Y156" s="34"/>
      <c r="Z156" s="40">
        <f>+'FFA &amp; Spot Rates'!J9</f>
        <v>11690</v>
      </c>
      <c r="AA156" s="40">
        <f>+'FFA &amp; Spot Rates'!K9</f>
        <v>15756</v>
      </c>
      <c r="AB156" s="40">
        <f>+'FFA &amp; Spot Rates'!L9</f>
        <v>20329</v>
      </c>
      <c r="AC156" s="40">
        <f>+'FFA &amp; Spot Rates'!M9</f>
        <v>19411</v>
      </c>
      <c r="AD156" s="34"/>
    </row>
    <row r="157" spans="3:36" x14ac:dyDescent="0.2">
      <c r="C157" s="17" t="s">
        <v>521</v>
      </c>
      <c r="D157" s="59" t="s">
        <v>18</v>
      </c>
      <c r="U157" s="40">
        <v>12700</v>
      </c>
      <c r="V157" s="40">
        <f>+'FFA &amp; Spot Rates'!F9</f>
        <v>12877</v>
      </c>
      <c r="W157" s="40">
        <f>+'FFA &amp; Spot Rates'!G9</f>
        <v>15466</v>
      </c>
      <c r="X157" s="40">
        <f>+'FFA &amp; Spot Rates'!H9</f>
        <v>16563</v>
      </c>
      <c r="Y157" s="34"/>
      <c r="Z157" s="40">
        <f>+'FFA &amp; Spot Rates'!J9</f>
        <v>11690</v>
      </c>
      <c r="AA157" s="40">
        <f>+'FFA &amp; Spot Rates'!K9</f>
        <v>15756</v>
      </c>
      <c r="AB157" s="40">
        <f>+'FFA &amp; Spot Rates'!L9</f>
        <v>20329</v>
      </c>
      <c r="AC157" s="40">
        <f>+'FFA &amp; Spot Rates'!M9</f>
        <v>19411</v>
      </c>
      <c r="AD157" s="34"/>
    </row>
    <row r="158" spans="3:36" x14ac:dyDescent="0.2">
      <c r="C158" s="17" t="s">
        <v>522</v>
      </c>
      <c r="D158" s="59" t="s">
        <v>18</v>
      </c>
      <c r="U158" s="40">
        <f>10870/3+10870/3+10870/6+'FFA &amp; Spot Rates'!E9/6</f>
        <v>10927.333333333334</v>
      </c>
      <c r="V158" s="40">
        <f>+'FFA &amp; Spot Rates'!F9</f>
        <v>12877</v>
      </c>
      <c r="W158" s="40">
        <f>+'FFA &amp; Spot Rates'!G9</f>
        <v>15466</v>
      </c>
      <c r="X158" s="40">
        <f>+'FFA &amp; Spot Rates'!H9</f>
        <v>16563</v>
      </c>
      <c r="Y158" s="34"/>
      <c r="Z158" s="40">
        <f>+'FFA &amp; Spot Rates'!J9</f>
        <v>11690</v>
      </c>
      <c r="AA158" s="40">
        <f>+'FFA &amp; Spot Rates'!K9</f>
        <v>15756</v>
      </c>
      <c r="AB158" s="40">
        <f>+'FFA &amp; Spot Rates'!L9</f>
        <v>20329</v>
      </c>
      <c r="AC158" s="40">
        <f>+'FFA &amp; Spot Rates'!M9</f>
        <v>19411</v>
      </c>
      <c r="AD158" s="34"/>
    </row>
    <row r="159" spans="3:36" x14ac:dyDescent="0.2">
      <c r="C159" s="17" t="s">
        <v>523</v>
      </c>
      <c r="D159" s="59" t="s">
        <v>18</v>
      </c>
      <c r="U159" s="40">
        <v>12500</v>
      </c>
      <c r="V159" s="40">
        <f>+'FFA &amp; Spot Rates'!F9</f>
        <v>12877</v>
      </c>
      <c r="W159" s="40">
        <f>+'FFA &amp; Spot Rates'!G9</f>
        <v>15466</v>
      </c>
      <c r="X159" s="40">
        <f>+'FFA &amp; Spot Rates'!H9</f>
        <v>16563</v>
      </c>
      <c r="Y159" s="34"/>
      <c r="Z159" s="40">
        <f>+'FFA &amp; Spot Rates'!J9</f>
        <v>11690</v>
      </c>
      <c r="AA159" s="40">
        <f>+'FFA &amp; Spot Rates'!K9</f>
        <v>15756</v>
      </c>
      <c r="AB159" s="40">
        <f>+'FFA &amp; Spot Rates'!L9</f>
        <v>20329</v>
      </c>
      <c r="AC159" s="40">
        <f>+'FFA &amp; Spot Rates'!M9</f>
        <v>19411</v>
      </c>
      <c r="AD159" s="34"/>
    </row>
    <row r="160" spans="3:36" x14ac:dyDescent="0.2">
      <c r="C160" s="17" t="s">
        <v>524</v>
      </c>
      <c r="D160" s="59" t="s">
        <v>18</v>
      </c>
      <c r="U160" s="40">
        <f>3450+4166.66666666667+4166.66666666667</f>
        <v>11783.333333333334</v>
      </c>
      <c r="V160" s="40">
        <f>4166.66666666667+'FFA &amp; Spot Rates'!F9/3+'FFA &amp; Spot Rates'!F9/3</f>
        <v>12751.333333333336</v>
      </c>
      <c r="W160" s="40">
        <f>+'FFA &amp; Spot Rates'!G9</f>
        <v>15466</v>
      </c>
      <c r="X160" s="40">
        <f>+'FFA &amp; Spot Rates'!H9</f>
        <v>16563</v>
      </c>
      <c r="Y160" s="34"/>
      <c r="Z160" s="40">
        <f>+'FFA &amp; Spot Rates'!J9</f>
        <v>11690</v>
      </c>
      <c r="AA160" s="40">
        <f>+'FFA &amp; Spot Rates'!K9</f>
        <v>15756</v>
      </c>
      <c r="AB160" s="40">
        <f>+'FFA &amp; Spot Rates'!L9</f>
        <v>20329</v>
      </c>
      <c r="AC160" s="40">
        <f>+'FFA &amp; Spot Rates'!M9</f>
        <v>19411</v>
      </c>
      <c r="AD160" s="34"/>
    </row>
    <row r="161" spans="3:30" x14ac:dyDescent="0.2">
      <c r="C161" s="17" t="s">
        <v>525</v>
      </c>
      <c r="D161" s="59" t="s">
        <v>18</v>
      </c>
      <c r="U161" s="40">
        <f>5266.66666666667+2833.33333333333+'FFA &amp; Spot Rates'!E9/3</f>
        <v>11838</v>
      </c>
      <c r="V161" s="40">
        <f>+'FFA &amp; Spot Rates'!F9</f>
        <v>12877</v>
      </c>
      <c r="W161" s="40">
        <f>+'FFA &amp; Spot Rates'!G9</f>
        <v>15466</v>
      </c>
      <c r="X161" s="40">
        <f>+'FFA &amp; Spot Rates'!H9</f>
        <v>16563</v>
      </c>
      <c r="Y161" s="34"/>
      <c r="Z161" s="40">
        <f>+'FFA &amp; Spot Rates'!J9</f>
        <v>11690</v>
      </c>
      <c r="AA161" s="40">
        <f>+'FFA &amp; Spot Rates'!K9</f>
        <v>15756</v>
      </c>
      <c r="AB161" s="40">
        <f>+'FFA &amp; Spot Rates'!L9</f>
        <v>20329</v>
      </c>
      <c r="AC161" s="40">
        <f>+'FFA &amp; Spot Rates'!M9</f>
        <v>19411</v>
      </c>
      <c r="AD161" s="34"/>
    </row>
    <row r="162" spans="3:30" ht="5.0999999999999996" customHeight="1" x14ac:dyDescent="0.2"/>
    <row r="163" spans="3:30" x14ac:dyDescent="0.2">
      <c r="C163" s="17" t="s">
        <v>718</v>
      </c>
      <c r="U163" s="145">
        <v>0.95</v>
      </c>
      <c r="V163" s="145">
        <v>0.95</v>
      </c>
      <c r="W163" s="145">
        <v>0.95</v>
      </c>
      <c r="X163" s="145">
        <v>0.95</v>
      </c>
      <c r="Y163" s="34"/>
      <c r="Z163" s="145">
        <v>0.95</v>
      </c>
      <c r="AA163" s="145">
        <v>0.95</v>
      </c>
      <c r="AB163" s="145">
        <v>0.95</v>
      </c>
      <c r="AC163" s="145">
        <v>0.95</v>
      </c>
      <c r="AD163" s="34"/>
    </row>
    <row r="164" spans="3:30" x14ac:dyDescent="0.2">
      <c r="C164" s="17" t="s">
        <v>755</v>
      </c>
      <c r="U164" s="40">
        <v>90</v>
      </c>
      <c r="V164" s="40">
        <v>90</v>
      </c>
      <c r="W164" s="40">
        <v>90</v>
      </c>
      <c r="X164" s="40">
        <v>90</v>
      </c>
      <c r="Z164" s="40">
        <v>90</v>
      </c>
      <c r="AA164" s="40">
        <v>90</v>
      </c>
      <c r="AB164" s="40">
        <v>90</v>
      </c>
      <c r="AC164" s="40">
        <v>90</v>
      </c>
    </row>
    <row r="166" spans="3:30" x14ac:dyDescent="0.2">
      <c r="C166" s="17" t="s">
        <v>762</v>
      </c>
      <c r="U166" s="146">
        <v>6239</v>
      </c>
      <c r="V166" s="146">
        <v>6239</v>
      </c>
      <c r="W166" s="146">
        <v>6239</v>
      </c>
      <c r="X166" s="146">
        <v>6239</v>
      </c>
      <c r="Z166" s="146">
        <v>6239</v>
      </c>
      <c r="AA166" s="146">
        <v>6239</v>
      </c>
      <c r="AB166" s="146">
        <v>6239</v>
      </c>
      <c r="AC166" s="146">
        <v>6239</v>
      </c>
    </row>
    <row r="167" spans="3:30" x14ac:dyDescent="0.2">
      <c r="C167" s="17" t="s">
        <v>80</v>
      </c>
      <c r="U167" s="146">
        <v>1101</v>
      </c>
      <c r="V167" s="146">
        <v>1101</v>
      </c>
      <c r="W167" s="146">
        <v>1101</v>
      </c>
      <c r="X167" s="146">
        <v>1101</v>
      </c>
      <c r="Z167" s="146">
        <v>1101</v>
      </c>
      <c r="AA167" s="146">
        <v>1101</v>
      </c>
      <c r="AB167" s="146">
        <v>1101</v>
      </c>
      <c r="AC167" s="146">
        <v>1101</v>
      </c>
    </row>
    <row r="168" spans="3:30" x14ac:dyDescent="0.2">
      <c r="C168" s="17" t="s">
        <v>763</v>
      </c>
      <c r="U168" s="146">
        <v>1811</v>
      </c>
      <c r="V168" s="146">
        <v>1811</v>
      </c>
      <c r="W168" s="146">
        <v>1811</v>
      </c>
      <c r="X168" s="146">
        <v>1811</v>
      </c>
      <c r="Z168" s="146">
        <v>1811</v>
      </c>
      <c r="AA168" s="146">
        <v>1811</v>
      </c>
      <c r="AB168" s="146">
        <v>1811</v>
      </c>
      <c r="AC168" s="146">
        <v>1811</v>
      </c>
    </row>
    <row r="169" spans="3:30" x14ac:dyDescent="0.2">
      <c r="C169" s="17" t="s">
        <v>764</v>
      </c>
      <c r="U169" s="146">
        <v>413</v>
      </c>
      <c r="V169" s="146">
        <v>413</v>
      </c>
      <c r="W169" s="146">
        <v>413</v>
      </c>
      <c r="X169" s="146">
        <v>413</v>
      </c>
      <c r="Z169" s="146">
        <v>413</v>
      </c>
      <c r="AA169" s="146">
        <v>413</v>
      </c>
      <c r="AB169" s="146">
        <v>413</v>
      </c>
      <c r="AC169" s="146">
        <v>413</v>
      </c>
    </row>
    <row r="170" spans="3:30" x14ac:dyDescent="0.2">
      <c r="C170" s="17" t="s">
        <v>765</v>
      </c>
      <c r="U170" s="146">
        <v>2332</v>
      </c>
      <c r="V170" s="146">
        <v>2332</v>
      </c>
      <c r="W170" s="146">
        <v>2332</v>
      </c>
      <c r="X170" s="146">
        <v>2332</v>
      </c>
      <c r="Z170" s="146">
        <v>2332</v>
      </c>
      <c r="AA170" s="146">
        <v>2332</v>
      </c>
      <c r="AB170" s="146">
        <v>2332</v>
      </c>
      <c r="AC170" s="146">
        <v>2332</v>
      </c>
    </row>
  </sheetData>
  <mergeCells count="6">
    <mergeCell ref="Z3:AD3"/>
    <mergeCell ref="C3:C4"/>
    <mergeCell ref="F3:J3"/>
    <mergeCell ref="K3:O3"/>
    <mergeCell ref="P3:T3"/>
    <mergeCell ref="U3:Y3"/>
  </mergeCells>
  <pageMargins left="0.7" right="0.7" top="0.75" bottom="0.75" header="0.3" footer="0.3"/>
  <ignoredErrors>
    <ignoredError sqref="T7:T28" formulaRange="1"/>
    <ignoredError sqref="S32:S40 S43:S45 S48:S59" unlockedFormula="1"/>
  </ignoredError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D801B-8D6F-44FF-82C5-C5345F43E590}">
  <dimension ref="C3:AJ152"/>
  <sheetViews>
    <sheetView showGridLines="0" zoomScale="110" zoomScaleNormal="110" workbookViewId="0">
      <pane xSplit="3" ySplit="4" topLeftCell="D55" activePane="bottomRight" state="frozen"/>
      <selection pane="topRight" activeCell="D1" sqref="D1"/>
      <selection pane="bottomLeft" activeCell="A5" sqref="A5"/>
      <selection pane="bottomRight" activeCell="AB100" sqref="AB100"/>
    </sheetView>
  </sheetViews>
  <sheetFormatPr defaultColWidth="8.7109375" defaultRowHeight="12.75" outlineLevelCol="1" x14ac:dyDescent="0.2"/>
  <cols>
    <col min="1" max="2" width="2.5703125" style="17" customWidth="1"/>
    <col min="3" max="3" width="45.28515625" style="17" bestFit="1" customWidth="1"/>
    <col min="4" max="5" width="8.5703125" style="20" customWidth="1"/>
    <col min="6" max="9" width="8.5703125" style="20" hidden="1" customWidth="1" outlineLevel="1"/>
    <col min="10" max="10" width="8.5703125" style="20" customWidth="1" collapsed="1"/>
    <col min="11" max="14" width="8.5703125" style="20" hidden="1" customWidth="1" outlineLevel="1"/>
    <col min="15" max="15" width="8.5703125" style="20" customWidth="1" collapsed="1"/>
    <col min="16" max="18" width="8.5703125" style="20" customWidth="1" outlineLevel="1"/>
    <col min="19" max="19" width="10.5703125" style="20" customWidth="1" outlineLevel="1"/>
    <col min="20" max="20" width="10.5703125" style="20" customWidth="1"/>
    <col min="21" max="24" width="10.5703125" style="20" customWidth="1" outlineLevel="1"/>
    <col min="25" max="34" width="10.5703125" style="20" customWidth="1"/>
    <col min="35" max="36" width="8.7109375" style="21"/>
    <col min="37" max="16384" width="8.7109375" style="17"/>
  </cols>
  <sheetData>
    <row r="3" spans="3:36" ht="15" customHeight="1" thickBot="1" x14ac:dyDescent="0.25">
      <c r="C3" s="237" t="s">
        <v>96</v>
      </c>
      <c r="D3" s="25" t="s">
        <v>99</v>
      </c>
      <c r="E3" s="25" t="s">
        <v>100</v>
      </c>
      <c r="F3" s="234" t="s">
        <v>101</v>
      </c>
      <c r="G3" s="235"/>
      <c r="H3" s="235"/>
      <c r="I3" s="235"/>
      <c r="J3" s="236"/>
      <c r="K3" s="234" t="s">
        <v>102</v>
      </c>
      <c r="L3" s="235"/>
      <c r="M3" s="235"/>
      <c r="N3" s="235"/>
      <c r="O3" s="236"/>
      <c r="P3" s="234" t="s">
        <v>103</v>
      </c>
      <c r="Q3" s="235"/>
      <c r="R3" s="235"/>
      <c r="S3" s="235"/>
      <c r="T3" s="236"/>
      <c r="U3" s="234" t="s">
        <v>104</v>
      </c>
      <c r="V3" s="235"/>
      <c r="W3" s="235"/>
      <c r="X3" s="235"/>
      <c r="Y3" s="236"/>
      <c r="Z3" s="234" t="s">
        <v>105</v>
      </c>
      <c r="AA3" s="235"/>
      <c r="AB3" s="235"/>
      <c r="AC3" s="235"/>
      <c r="AD3" s="236"/>
    </row>
    <row r="4" spans="3:36" ht="13.5" thickBot="1" x14ac:dyDescent="0.25">
      <c r="C4" s="236"/>
      <c r="D4" s="26" t="s">
        <v>97</v>
      </c>
      <c r="E4" s="26" t="s">
        <v>97</v>
      </c>
      <c r="F4" s="27">
        <v>44256</v>
      </c>
      <c r="G4" s="27">
        <v>44348</v>
      </c>
      <c r="H4" s="27">
        <v>44440</v>
      </c>
      <c r="I4" s="27">
        <v>44531</v>
      </c>
      <c r="J4" s="26" t="s">
        <v>97</v>
      </c>
      <c r="K4" s="27">
        <v>44621</v>
      </c>
      <c r="L4" s="27">
        <v>44713</v>
      </c>
      <c r="M4" s="27">
        <v>44805</v>
      </c>
      <c r="N4" s="27">
        <v>44896</v>
      </c>
      <c r="O4" s="26" t="s">
        <v>97</v>
      </c>
      <c r="P4" s="27">
        <v>44986</v>
      </c>
      <c r="Q4" s="27">
        <v>45078</v>
      </c>
      <c r="R4" s="27">
        <v>45170</v>
      </c>
      <c r="S4" s="27">
        <v>45261</v>
      </c>
      <c r="T4" s="26" t="s">
        <v>97</v>
      </c>
      <c r="U4" s="27">
        <v>45352</v>
      </c>
      <c r="V4" s="27">
        <v>45444</v>
      </c>
      <c r="W4" s="27">
        <v>45536</v>
      </c>
      <c r="X4" s="27">
        <v>45627</v>
      </c>
      <c r="Y4" s="26" t="s">
        <v>97</v>
      </c>
      <c r="Z4" s="27">
        <v>45717</v>
      </c>
      <c r="AA4" s="27">
        <v>45809</v>
      </c>
      <c r="AB4" s="27">
        <v>45901</v>
      </c>
      <c r="AC4" s="27">
        <v>45992</v>
      </c>
      <c r="AD4" s="26" t="s">
        <v>97</v>
      </c>
    </row>
    <row r="5" spans="3:36" ht="5.0999999999999996" customHeight="1" x14ac:dyDescent="0.2">
      <c r="C5" s="28"/>
      <c r="D5" s="28"/>
      <c r="E5" s="29"/>
      <c r="F5" s="29"/>
      <c r="G5" s="29"/>
      <c r="H5" s="29"/>
      <c r="I5" s="29"/>
      <c r="J5" s="29"/>
      <c r="K5" s="29"/>
      <c r="L5" s="29"/>
      <c r="M5" s="29"/>
      <c r="N5" s="29"/>
      <c r="O5" s="29"/>
      <c r="P5" s="29"/>
      <c r="Q5" s="29"/>
      <c r="R5" s="29"/>
      <c r="S5" s="29"/>
      <c r="T5" s="29"/>
      <c r="U5" s="29"/>
      <c r="V5" s="29"/>
      <c r="W5" s="29"/>
    </row>
    <row r="6" spans="3:36" x14ac:dyDescent="0.2">
      <c r="C6" s="30" t="s">
        <v>98</v>
      </c>
      <c r="D6" s="31"/>
      <c r="E6" s="31"/>
      <c r="F6" s="31"/>
      <c r="G6" s="31"/>
      <c r="H6" s="31"/>
      <c r="I6" s="31"/>
      <c r="J6" s="31"/>
      <c r="K6" s="31"/>
      <c r="L6" s="31"/>
      <c r="M6" s="31"/>
      <c r="N6" s="31"/>
      <c r="O6" s="31"/>
      <c r="P6" s="31"/>
      <c r="Q6" s="31"/>
      <c r="R6" s="31"/>
      <c r="S6" s="31"/>
      <c r="T6" s="31"/>
      <c r="U6" s="31"/>
      <c r="V6" s="31"/>
      <c r="W6" s="31"/>
      <c r="X6" s="31"/>
      <c r="Y6" s="31"/>
      <c r="Z6" s="31"/>
      <c r="AA6" s="31"/>
      <c r="AB6" s="31"/>
      <c r="AC6" s="31"/>
      <c r="AD6" s="31"/>
    </row>
    <row r="7" spans="3:36" x14ac:dyDescent="0.2">
      <c r="C7" s="32" t="s">
        <v>77</v>
      </c>
      <c r="D7" s="41">
        <v>8.9</v>
      </c>
      <c r="E7" s="41">
        <v>47.699999999999996</v>
      </c>
      <c r="F7" s="41">
        <v>16</v>
      </c>
      <c r="G7" s="41">
        <v>27.599999999999998</v>
      </c>
      <c r="H7" s="41">
        <v>32.4</v>
      </c>
      <c r="I7" s="41">
        <v>37.700000000000003</v>
      </c>
      <c r="J7" s="41">
        <v>115.9</v>
      </c>
      <c r="K7" s="41">
        <v>16.8</v>
      </c>
      <c r="L7" s="41">
        <v>23.3</v>
      </c>
      <c r="M7" s="41">
        <v>18.7</v>
      </c>
      <c r="N7" s="41">
        <v>18.2</v>
      </c>
      <c r="O7" s="41">
        <v>77</v>
      </c>
      <c r="P7" s="41">
        <v>12.6</v>
      </c>
      <c r="Q7" s="41">
        <v>16.8</v>
      </c>
      <c r="R7" s="41">
        <v>14.9</v>
      </c>
      <c r="S7" s="41">
        <v>25.8</v>
      </c>
      <c r="T7" s="41">
        <v>70.099999999999994</v>
      </c>
      <c r="U7" s="41">
        <f>+SUM(U97:U104)*U106*U107/1000000</f>
        <v>24.21</v>
      </c>
      <c r="V7" s="41">
        <f>+SUM(V97:V104)*V106*V107/1000000</f>
        <v>13.001249999999999</v>
      </c>
      <c r="W7" s="41">
        <f>+SUM(W97:W104)*W106*W107/1000000</f>
        <v>14.352525</v>
      </c>
      <c r="X7" s="41">
        <f>+SUM(X97:X104)*X106*X107/1000000</f>
        <v>15.475725000000001</v>
      </c>
      <c r="Y7" s="41">
        <f>+SUM(U7:X7)</f>
        <v>67.039500000000004</v>
      </c>
      <c r="Z7" s="41">
        <f>+SUM(Z97:Z104)*Z106*Z107/1000000</f>
        <v>10.299365999999999</v>
      </c>
      <c r="AA7" s="41">
        <f>+SUM(AA97:AA104)*AA106*AA107/1000000</f>
        <v>14.630706</v>
      </c>
      <c r="AB7" s="41">
        <f>+SUM(AB97:AB104)*AB106*AB107/1000000</f>
        <v>19.502586000000001</v>
      </c>
      <c r="AC7" s="41">
        <f>+SUM(AC97:AC104)*AC106*AC107/1000000</f>
        <v>18.523997999999999</v>
      </c>
      <c r="AD7" s="41">
        <f>+SUM(Z7:AC7)</f>
        <v>62.956656000000002</v>
      </c>
    </row>
    <row r="8" spans="3:36" ht="5.0999999999999996" customHeight="1" x14ac:dyDescent="0.2">
      <c r="C8" s="18"/>
      <c r="D8" s="35"/>
      <c r="E8" s="35"/>
      <c r="F8" s="35"/>
      <c r="G8" s="35"/>
      <c r="H8" s="35"/>
      <c r="I8" s="35"/>
      <c r="J8" s="35"/>
      <c r="K8" s="35"/>
      <c r="L8" s="35"/>
      <c r="M8" s="35"/>
      <c r="N8" s="35"/>
      <c r="O8" s="35"/>
      <c r="P8" s="35"/>
      <c r="Q8" s="35"/>
      <c r="R8" s="35"/>
      <c r="S8" s="35"/>
      <c r="T8" s="35"/>
    </row>
    <row r="9" spans="3:36" x14ac:dyDescent="0.2">
      <c r="C9" s="17" t="s">
        <v>78</v>
      </c>
      <c r="D9" s="34">
        <v>-2.1</v>
      </c>
      <c r="E9" s="34">
        <v>-13.2</v>
      </c>
      <c r="F9" s="34">
        <v>-4.0999999999999996</v>
      </c>
      <c r="G9" s="34">
        <v>-4.3</v>
      </c>
      <c r="H9" s="34">
        <v>-4.5</v>
      </c>
      <c r="I9" s="34">
        <v>-5.3999999999999995</v>
      </c>
      <c r="J9" s="34">
        <v>-20.5</v>
      </c>
      <c r="K9" s="34">
        <v>-4.9000000000000004</v>
      </c>
      <c r="L9" s="34">
        <v>-4.5999999999999996</v>
      </c>
      <c r="M9" s="34">
        <v>-4.8</v>
      </c>
      <c r="N9" s="34">
        <v>-5</v>
      </c>
      <c r="O9" s="34">
        <v>-19.3</v>
      </c>
      <c r="P9" s="34">
        <v>-5</v>
      </c>
      <c r="Q9" s="34">
        <v>-5</v>
      </c>
      <c r="R9" s="34">
        <v>-5.1000000000000005</v>
      </c>
      <c r="S9" s="34">
        <f>-4.5-0.3</f>
        <v>-4.8</v>
      </c>
      <c r="T9" s="34">
        <v>-19.900000000000002</v>
      </c>
      <c r="U9" s="130">
        <f>+S9</f>
        <v>-4.8</v>
      </c>
      <c r="V9" s="131">
        <f>+$U$9/8*6</f>
        <v>-3.5999999999999996</v>
      </c>
      <c r="W9" s="131">
        <f>+$U$9/8*6</f>
        <v>-3.5999999999999996</v>
      </c>
      <c r="X9" s="131">
        <f>+$U$9/8*6</f>
        <v>-3.5999999999999996</v>
      </c>
      <c r="Y9" s="40">
        <f>+SUM(U9:X9)</f>
        <v>-15.599999999999998</v>
      </c>
      <c r="Z9" s="131">
        <f>+$U$9/8*6</f>
        <v>-3.5999999999999996</v>
      </c>
      <c r="AA9" s="131">
        <f>+$U$9/8*6</f>
        <v>-3.5999999999999996</v>
      </c>
      <c r="AB9" s="131">
        <f>+$U$9/8*6</f>
        <v>-3.5999999999999996</v>
      </c>
      <c r="AC9" s="131">
        <f>+$U$9/8*6</f>
        <v>-3.5999999999999996</v>
      </c>
      <c r="AD9" s="40">
        <f>+SUM(Z9:AC9)</f>
        <v>-14.399999999999999</v>
      </c>
    </row>
    <row r="10" spans="3:36" x14ac:dyDescent="0.2">
      <c r="C10" s="17" t="s">
        <v>80</v>
      </c>
      <c r="D10" s="34">
        <v>-4.7</v>
      </c>
      <c r="E10" s="34">
        <v>-3.5</v>
      </c>
      <c r="F10" s="34">
        <v>-0.8</v>
      </c>
      <c r="G10" s="34">
        <v>-0.8</v>
      </c>
      <c r="H10" s="34">
        <v>-0.8</v>
      </c>
      <c r="I10" s="34">
        <v>-0.9</v>
      </c>
      <c r="J10" s="34">
        <v>-3.3000000000000003</v>
      </c>
      <c r="K10" s="34">
        <v>-0.9</v>
      </c>
      <c r="L10" s="34">
        <v>-1.3</v>
      </c>
      <c r="M10" s="34">
        <v>-1</v>
      </c>
      <c r="N10" s="34">
        <v>-1.2</v>
      </c>
      <c r="O10" s="34">
        <v>-4.4000000000000004</v>
      </c>
      <c r="P10" s="34">
        <v>-1</v>
      </c>
      <c r="Q10" s="34">
        <v>-0.8</v>
      </c>
      <c r="R10" s="34">
        <v>-0.8</v>
      </c>
      <c r="S10" s="34">
        <v>-0.8</v>
      </c>
      <c r="T10" s="34">
        <v>-3.4000000000000004</v>
      </c>
      <c r="U10" s="130">
        <f>+$S$10</f>
        <v>-0.8</v>
      </c>
      <c r="V10" s="130">
        <f>+$S$10</f>
        <v>-0.8</v>
      </c>
      <c r="W10" s="130">
        <f>+$S$10</f>
        <v>-0.8</v>
      </c>
      <c r="X10" s="130">
        <f>+$S$10</f>
        <v>-0.8</v>
      </c>
      <c r="Y10" s="40">
        <f>+SUM(U10:X10)</f>
        <v>-3.2</v>
      </c>
      <c r="Z10" s="130">
        <f>+$S$10</f>
        <v>-0.8</v>
      </c>
      <c r="AA10" s="130">
        <f>+$S$10</f>
        <v>-0.8</v>
      </c>
      <c r="AB10" s="130">
        <f>+$S$10</f>
        <v>-0.8</v>
      </c>
      <c r="AC10" s="130">
        <f>+$S$10</f>
        <v>-0.8</v>
      </c>
      <c r="AD10" s="40">
        <f>+SUM(Z10:AC10)</f>
        <v>-3.2</v>
      </c>
    </row>
    <row r="11" spans="3:36" x14ac:dyDescent="0.2">
      <c r="C11" s="17" t="s">
        <v>81</v>
      </c>
      <c r="D11" s="34">
        <v>-0.7</v>
      </c>
      <c r="E11" s="34"/>
      <c r="F11" s="34">
        <v>0</v>
      </c>
      <c r="G11" s="34">
        <v>0</v>
      </c>
      <c r="H11" s="34">
        <v>0</v>
      </c>
      <c r="I11" s="34">
        <v>0</v>
      </c>
      <c r="J11" s="34">
        <v>0</v>
      </c>
      <c r="K11" s="34">
        <v>0</v>
      </c>
      <c r="L11" s="34">
        <v>0</v>
      </c>
      <c r="M11" s="34">
        <v>-0.2</v>
      </c>
      <c r="N11" s="34">
        <v>9.9999999999999978E-2</v>
      </c>
      <c r="O11" s="34">
        <v>-0.10000000000000003</v>
      </c>
      <c r="P11" s="34">
        <v>-0.2</v>
      </c>
      <c r="Q11" s="34">
        <v>9.9999999999999978E-2</v>
      </c>
      <c r="R11" s="34">
        <v>2.1</v>
      </c>
      <c r="S11" s="34">
        <v>0.5</v>
      </c>
      <c r="T11" s="34">
        <v>2.5</v>
      </c>
      <c r="U11" s="40">
        <v>0.4</v>
      </c>
      <c r="V11" s="40">
        <v>0.4</v>
      </c>
      <c r="W11" s="40">
        <v>0.4</v>
      </c>
      <c r="X11" s="40">
        <v>0.4</v>
      </c>
      <c r="Y11" s="40">
        <f>+SUM(U11:X11)</f>
        <v>1.6</v>
      </c>
      <c r="Z11" s="40">
        <v>0.4</v>
      </c>
      <c r="AA11" s="40">
        <v>0.4</v>
      </c>
      <c r="AB11" s="40">
        <v>0.4</v>
      </c>
      <c r="AC11" s="40">
        <v>0.4</v>
      </c>
      <c r="AD11" s="40">
        <f>+SUM(Z11:AC11)</f>
        <v>1.6</v>
      </c>
    </row>
    <row r="12" spans="3:36" x14ac:dyDescent="0.2">
      <c r="C12" s="32" t="s">
        <v>82</v>
      </c>
      <c r="D12" s="33">
        <f t="shared" ref="D12:AD12" si="0">+D7+SUM(D9:D11)</f>
        <v>1.3999999999999995</v>
      </c>
      <c r="E12" s="33">
        <f t="shared" si="0"/>
        <v>30.999999999999996</v>
      </c>
      <c r="F12" s="33">
        <f t="shared" si="0"/>
        <v>11.100000000000001</v>
      </c>
      <c r="G12" s="33">
        <f t="shared" si="0"/>
        <v>22.5</v>
      </c>
      <c r="H12" s="33">
        <f t="shared" si="0"/>
        <v>27.099999999999998</v>
      </c>
      <c r="I12" s="33">
        <f t="shared" si="0"/>
        <v>31.400000000000002</v>
      </c>
      <c r="J12" s="33">
        <f t="shared" si="0"/>
        <v>92.100000000000009</v>
      </c>
      <c r="K12" s="33">
        <f t="shared" si="0"/>
        <v>11</v>
      </c>
      <c r="L12" s="33">
        <f t="shared" si="0"/>
        <v>17.400000000000002</v>
      </c>
      <c r="M12" s="33">
        <f t="shared" si="0"/>
        <v>12.7</v>
      </c>
      <c r="N12" s="33">
        <f t="shared" si="0"/>
        <v>12.099999999999998</v>
      </c>
      <c r="O12" s="33">
        <f t="shared" si="0"/>
        <v>53.199999999999996</v>
      </c>
      <c r="P12" s="33">
        <f t="shared" si="0"/>
        <v>6.3999999999999995</v>
      </c>
      <c r="Q12" s="33">
        <f t="shared" si="0"/>
        <v>11.100000000000001</v>
      </c>
      <c r="R12" s="33">
        <f t="shared" si="0"/>
        <v>11.1</v>
      </c>
      <c r="S12" s="33">
        <f t="shared" si="0"/>
        <v>20.700000000000003</v>
      </c>
      <c r="T12" s="33">
        <f t="shared" si="0"/>
        <v>49.29999999999999</v>
      </c>
      <c r="U12" s="33">
        <f t="shared" si="0"/>
        <v>19.010000000000002</v>
      </c>
      <c r="V12" s="33">
        <f t="shared" si="0"/>
        <v>9.0012499999999989</v>
      </c>
      <c r="W12" s="33">
        <f t="shared" si="0"/>
        <v>10.352525</v>
      </c>
      <c r="X12" s="33">
        <f t="shared" si="0"/>
        <v>11.475725000000001</v>
      </c>
      <c r="Y12" s="33">
        <f t="shared" si="0"/>
        <v>49.839500000000008</v>
      </c>
      <c r="Z12" s="33">
        <f t="shared" si="0"/>
        <v>6.2993659999999991</v>
      </c>
      <c r="AA12" s="33">
        <f t="shared" si="0"/>
        <v>10.630706</v>
      </c>
      <c r="AB12" s="33">
        <f t="shared" si="0"/>
        <v>15.502586000000001</v>
      </c>
      <c r="AC12" s="33">
        <f t="shared" si="0"/>
        <v>14.523997999999999</v>
      </c>
      <c r="AD12" s="33">
        <f t="shared" si="0"/>
        <v>46.956656000000002</v>
      </c>
    </row>
    <row r="13" spans="3:36" ht="5.0999999999999996" customHeight="1" x14ac:dyDescent="0.2">
      <c r="C13" s="18"/>
      <c r="D13" s="35"/>
      <c r="E13" s="35"/>
      <c r="F13" s="35"/>
      <c r="G13" s="35"/>
      <c r="H13" s="35"/>
      <c r="I13" s="35"/>
      <c r="J13" s="35"/>
      <c r="K13" s="35"/>
      <c r="L13" s="35"/>
      <c r="M13" s="35"/>
      <c r="N13" s="35"/>
      <c r="O13" s="35"/>
      <c r="P13" s="35"/>
      <c r="Q13" s="35"/>
      <c r="R13" s="35"/>
      <c r="S13" s="35"/>
      <c r="T13" s="35"/>
    </row>
    <row r="14" spans="3:36" s="19" customFormat="1" x14ac:dyDescent="0.2">
      <c r="C14" s="19" t="s">
        <v>83</v>
      </c>
      <c r="D14" s="36">
        <v>-1.2</v>
      </c>
      <c r="E14" s="36">
        <v>-9.9</v>
      </c>
      <c r="F14" s="36">
        <v>-2.9</v>
      </c>
      <c r="G14" s="36">
        <v>-2.9</v>
      </c>
      <c r="H14" s="36">
        <v>-3</v>
      </c>
      <c r="I14" s="36">
        <v>-2.9</v>
      </c>
      <c r="J14" s="36">
        <v>-11.700000000000001</v>
      </c>
      <c r="K14" s="36">
        <v>-2.9</v>
      </c>
      <c r="L14" s="36">
        <v>-2.9</v>
      </c>
      <c r="M14" s="36">
        <v>-3</v>
      </c>
      <c r="N14" s="36">
        <v>-2.9</v>
      </c>
      <c r="O14" s="36">
        <v>-11.700000000000001</v>
      </c>
      <c r="P14" s="36">
        <v>-2.9</v>
      </c>
      <c r="Q14" s="36">
        <v>-3</v>
      </c>
      <c r="R14" s="36">
        <v>-2.9</v>
      </c>
      <c r="S14" s="36">
        <v>-2.8</v>
      </c>
      <c r="T14" s="36">
        <v>-11.600000000000001</v>
      </c>
      <c r="U14" s="130">
        <f>+$S$14</f>
        <v>-2.8</v>
      </c>
      <c r="V14" s="131">
        <f>+$U$14/8*6</f>
        <v>-2.0999999999999996</v>
      </c>
      <c r="W14" s="131">
        <f>+$U$14/8*6</f>
        <v>-2.0999999999999996</v>
      </c>
      <c r="X14" s="131">
        <f>+$U$14/8*6</f>
        <v>-2.0999999999999996</v>
      </c>
      <c r="Y14" s="40">
        <f>+SUM(U14:X14)</f>
        <v>-9.0999999999999979</v>
      </c>
      <c r="Z14" s="131">
        <f>+$U$14/8*6</f>
        <v>-2.0999999999999996</v>
      </c>
      <c r="AA14" s="131">
        <f>+$U$14/8*6</f>
        <v>-2.0999999999999996</v>
      </c>
      <c r="AB14" s="131">
        <f>+$U$14/8*6</f>
        <v>-2.0999999999999996</v>
      </c>
      <c r="AC14" s="131">
        <f>+$U$14/8*6</f>
        <v>-2.0999999999999996</v>
      </c>
      <c r="AD14" s="40">
        <f>+SUM(Z14:AC14)</f>
        <v>-8.3999999999999986</v>
      </c>
      <c r="AE14" s="22"/>
      <c r="AF14" s="22"/>
      <c r="AG14" s="22"/>
      <c r="AH14" s="22"/>
      <c r="AI14" s="23"/>
      <c r="AJ14" s="23"/>
    </row>
    <row r="15" spans="3:36" x14ac:dyDescent="0.2">
      <c r="C15" s="17" t="s">
        <v>766</v>
      </c>
      <c r="D15" s="34">
        <v>-0.5</v>
      </c>
      <c r="E15" s="34">
        <v>-10</v>
      </c>
      <c r="F15" s="34">
        <v>-2.4</v>
      </c>
      <c r="G15" s="34">
        <v>-2.5</v>
      </c>
      <c r="H15" s="34">
        <v>-2.5</v>
      </c>
      <c r="I15" s="34">
        <v>-2.2000000000000002</v>
      </c>
      <c r="J15" s="34">
        <v>-9.6000000000000014</v>
      </c>
      <c r="K15" s="34">
        <v>-2.2000000000000002</v>
      </c>
      <c r="L15" s="34">
        <v>-2.5</v>
      </c>
      <c r="M15" s="34">
        <v>-2.4</v>
      </c>
      <c r="N15" s="34">
        <v>-2.4</v>
      </c>
      <c r="O15" s="34">
        <v>-9.5</v>
      </c>
      <c r="P15" s="34">
        <v>-2.7</v>
      </c>
      <c r="Q15" s="34">
        <v>-2.5999999999999996</v>
      </c>
      <c r="R15" s="34">
        <v>-2.8</v>
      </c>
      <c r="S15" s="34">
        <f>-2.8+0.3</f>
        <v>-2.5</v>
      </c>
      <c r="T15" s="34">
        <v>-10.6</v>
      </c>
      <c r="U15" s="130">
        <f>+$S$15</f>
        <v>-2.5</v>
      </c>
      <c r="V15" s="131">
        <f>+$U$15/8*6</f>
        <v>-1.875</v>
      </c>
      <c r="W15" s="131">
        <f>+$U$15/8*6</f>
        <v>-1.875</v>
      </c>
      <c r="X15" s="131">
        <f>+$U$15/8*6</f>
        <v>-1.875</v>
      </c>
      <c r="Y15" s="40">
        <f>+SUM(U15:X15)</f>
        <v>-8.125</v>
      </c>
      <c r="Z15" s="131">
        <f>+$U$15/8*6</f>
        <v>-1.875</v>
      </c>
      <c r="AA15" s="131">
        <f>+$U$15/8*6</f>
        <v>-1.875</v>
      </c>
      <c r="AB15" s="131">
        <f>+$U$15/8*6</f>
        <v>-1.875</v>
      </c>
      <c r="AC15" s="131">
        <f>+$U$15/8*6</f>
        <v>-1.875</v>
      </c>
      <c r="AD15" s="40">
        <f>+SUM(Z15:AC15)</f>
        <v>-7.5</v>
      </c>
    </row>
    <row r="16" spans="3:36" x14ac:dyDescent="0.2">
      <c r="C16" s="17" t="s">
        <v>91</v>
      </c>
      <c r="D16" s="34">
        <v>-0.1</v>
      </c>
      <c r="E16" s="34">
        <v>0</v>
      </c>
      <c r="F16" s="34">
        <v>0</v>
      </c>
      <c r="G16" s="34">
        <v>0</v>
      </c>
      <c r="H16" s="34">
        <v>0</v>
      </c>
      <c r="I16" s="34">
        <v>0</v>
      </c>
      <c r="J16" s="34">
        <v>0</v>
      </c>
      <c r="K16" s="34">
        <v>0</v>
      </c>
      <c r="L16" s="34">
        <v>0</v>
      </c>
      <c r="M16" s="34">
        <v>0</v>
      </c>
      <c r="N16" s="34">
        <v>-0.1</v>
      </c>
      <c r="O16" s="34">
        <v>-0.1</v>
      </c>
      <c r="P16" s="34">
        <v>0</v>
      </c>
      <c r="Q16" s="34">
        <v>-0.7</v>
      </c>
      <c r="R16" s="34">
        <v>-0.2</v>
      </c>
      <c r="S16" s="34">
        <v>-0.6</v>
      </c>
      <c r="T16" s="34">
        <v>-1.5</v>
      </c>
      <c r="U16" s="40">
        <v>0</v>
      </c>
      <c r="V16" s="40">
        <v>0</v>
      </c>
      <c r="W16" s="40">
        <v>0</v>
      </c>
      <c r="X16" s="40">
        <v>0</v>
      </c>
      <c r="Y16" s="40">
        <f>+SUM(U16:X16)</f>
        <v>0</v>
      </c>
      <c r="Z16" s="40">
        <v>0</v>
      </c>
      <c r="AA16" s="40">
        <v>0</v>
      </c>
      <c r="AB16" s="40">
        <v>0</v>
      </c>
      <c r="AC16" s="40">
        <v>0</v>
      </c>
      <c r="AD16" s="40">
        <f>+SUM(Z16:AC16)</f>
        <v>0</v>
      </c>
    </row>
    <row r="17" spans="3:30" x14ac:dyDescent="0.2">
      <c r="C17" s="32" t="s">
        <v>92</v>
      </c>
      <c r="D17" s="33">
        <f t="shared" ref="D17:AD17" si="1">+SUM(D12,D14:D16)</f>
        <v>-0.40000000000000047</v>
      </c>
      <c r="E17" s="33">
        <f t="shared" si="1"/>
        <v>11.099999999999994</v>
      </c>
      <c r="F17" s="33">
        <f t="shared" si="1"/>
        <v>5.8000000000000007</v>
      </c>
      <c r="G17" s="33">
        <f t="shared" si="1"/>
        <v>17.100000000000001</v>
      </c>
      <c r="H17" s="33">
        <f t="shared" si="1"/>
        <v>21.599999999999998</v>
      </c>
      <c r="I17" s="33">
        <f t="shared" si="1"/>
        <v>26.300000000000004</v>
      </c>
      <c r="J17" s="33">
        <f t="shared" si="1"/>
        <v>70.800000000000011</v>
      </c>
      <c r="K17" s="33">
        <f t="shared" si="1"/>
        <v>5.8999999999999995</v>
      </c>
      <c r="L17" s="33">
        <f t="shared" si="1"/>
        <v>12.000000000000002</v>
      </c>
      <c r="M17" s="33">
        <f t="shared" si="1"/>
        <v>7.2999999999999989</v>
      </c>
      <c r="N17" s="33">
        <f t="shared" si="1"/>
        <v>6.6999999999999975</v>
      </c>
      <c r="O17" s="33">
        <f t="shared" si="1"/>
        <v>31.899999999999991</v>
      </c>
      <c r="P17" s="33">
        <f t="shared" si="1"/>
        <v>0.79999999999999938</v>
      </c>
      <c r="Q17" s="33">
        <f t="shared" si="1"/>
        <v>4.8000000000000016</v>
      </c>
      <c r="R17" s="33">
        <f t="shared" si="1"/>
        <v>5.1999999999999993</v>
      </c>
      <c r="S17" s="33">
        <f t="shared" si="1"/>
        <v>14.800000000000002</v>
      </c>
      <c r="T17" s="33">
        <f t="shared" si="1"/>
        <v>25.599999999999987</v>
      </c>
      <c r="U17" s="33">
        <f t="shared" si="1"/>
        <v>13.71</v>
      </c>
      <c r="V17" s="33">
        <f t="shared" si="1"/>
        <v>5.0262499999999992</v>
      </c>
      <c r="W17" s="33">
        <f t="shared" si="1"/>
        <v>6.3775250000000003</v>
      </c>
      <c r="X17" s="33">
        <f t="shared" si="1"/>
        <v>7.500725000000001</v>
      </c>
      <c r="Y17" s="33">
        <f t="shared" si="1"/>
        <v>32.614500000000007</v>
      </c>
      <c r="Z17" s="33">
        <f t="shared" si="1"/>
        <v>2.3243659999999995</v>
      </c>
      <c r="AA17" s="33">
        <f t="shared" si="1"/>
        <v>6.6557060000000003</v>
      </c>
      <c r="AB17" s="33">
        <f t="shared" si="1"/>
        <v>11.527586000000001</v>
      </c>
      <c r="AC17" s="33">
        <f t="shared" si="1"/>
        <v>10.548997999999999</v>
      </c>
      <c r="AD17" s="33">
        <f t="shared" si="1"/>
        <v>31.056656000000004</v>
      </c>
    </row>
    <row r="18" spans="3:30" ht="5.0999999999999996" customHeight="1" x14ac:dyDescent="0.2">
      <c r="D18" s="37"/>
      <c r="E18" s="37"/>
      <c r="F18" s="37"/>
      <c r="G18" s="37"/>
      <c r="H18" s="37"/>
      <c r="I18" s="37"/>
      <c r="J18" s="37"/>
      <c r="K18" s="37"/>
      <c r="L18" s="37"/>
      <c r="M18" s="37"/>
      <c r="N18" s="37"/>
      <c r="O18" s="37"/>
      <c r="P18" s="37"/>
      <c r="Q18" s="37"/>
      <c r="R18" s="37"/>
      <c r="S18" s="37"/>
      <c r="T18" s="37"/>
    </row>
    <row r="19" spans="3:30" x14ac:dyDescent="0.2">
      <c r="C19" s="17" t="s">
        <v>83</v>
      </c>
      <c r="D19" s="36">
        <v>1.2</v>
      </c>
      <c r="E19" s="36">
        <v>9.9</v>
      </c>
      <c r="F19" s="36">
        <v>2.9</v>
      </c>
      <c r="G19" s="36">
        <v>2.9</v>
      </c>
      <c r="H19" s="36">
        <v>3</v>
      </c>
      <c r="I19" s="36">
        <v>2.9</v>
      </c>
      <c r="J19" s="36">
        <v>11.700000000000001</v>
      </c>
      <c r="K19" s="36">
        <v>2.9</v>
      </c>
      <c r="L19" s="36">
        <v>2.9</v>
      </c>
      <c r="M19" s="36">
        <v>3</v>
      </c>
      <c r="N19" s="36">
        <v>2.9</v>
      </c>
      <c r="O19" s="36">
        <v>11.700000000000001</v>
      </c>
      <c r="P19" s="36">
        <v>2.9</v>
      </c>
      <c r="Q19" s="36">
        <v>3</v>
      </c>
      <c r="R19" s="36">
        <v>2.9</v>
      </c>
      <c r="S19" s="36">
        <v>2.8</v>
      </c>
      <c r="T19" s="36">
        <v>11.600000000000001</v>
      </c>
      <c r="U19" s="40">
        <f>-U14</f>
        <v>2.8</v>
      </c>
      <c r="V19" s="40">
        <f>-V14</f>
        <v>2.0999999999999996</v>
      </c>
      <c r="W19" s="40">
        <f>-W14</f>
        <v>2.0999999999999996</v>
      </c>
      <c r="X19" s="40">
        <f>-X14</f>
        <v>2.0999999999999996</v>
      </c>
      <c r="Y19" s="40">
        <f t="shared" ref="Y19:Y27" si="2">+SUM(U19:X19)</f>
        <v>9.0999999999999979</v>
      </c>
      <c r="Z19" s="40">
        <f>-Z14</f>
        <v>2.0999999999999996</v>
      </c>
      <c r="AA19" s="40">
        <f>-AA14</f>
        <v>2.0999999999999996</v>
      </c>
      <c r="AB19" s="40">
        <f>-AB14</f>
        <v>2.0999999999999996</v>
      </c>
      <c r="AC19" s="40">
        <f>-AC14</f>
        <v>2.0999999999999996</v>
      </c>
      <c r="AD19" s="40">
        <f t="shared" ref="AD19:AD27" si="3">+SUM(Z19:AC19)</f>
        <v>8.3999999999999986</v>
      </c>
    </row>
    <row r="20" spans="3:30" ht="12.95" customHeight="1" x14ac:dyDescent="0.2">
      <c r="C20" s="17" t="s">
        <v>767</v>
      </c>
      <c r="D20" s="36">
        <v>1.6</v>
      </c>
      <c r="E20" s="36">
        <v>0.5</v>
      </c>
      <c r="F20" s="36">
        <v>0</v>
      </c>
      <c r="G20" s="36">
        <v>0</v>
      </c>
      <c r="H20" s="36">
        <v>0</v>
      </c>
      <c r="I20" s="36">
        <v>0</v>
      </c>
      <c r="J20" s="36">
        <v>0</v>
      </c>
      <c r="K20" s="36">
        <v>0</v>
      </c>
      <c r="L20" s="36">
        <v>0</v>
      </c>
      <c r="M20" s="36">
        <v>0</v>
      </c>
      <c r="N20" s="36">
        <v>0.1</v>
      </c>
      <c r="O20" s="36">
        <v>0.1</v>
      </c>
      <c r="P20" s="36">
        <v>0.1</v>
      </c>
      <c r="Q20" s="36">
        <v>0</v>
      </c>
      <c r="R20" s="36">
        <v>0</v>
      </c>
      <c r="S20" s="36">
        <v>0</v>
      </c>
      <c r="T20" s="36">
        <v>0.1</v>
      </c>
      <c r="U20" s="40">
        <v>0</v>
      </c>
      <c r="V20" s="40">
        <v>0</v>
      </c>
      <c r="W20" s="40">
        <v>0</v>
      </c>
      <c r="X20" s="40">
        <v>0</v>
      </c>
      <c r="Y20" s="40">
        <f t="shared" si="2"/>
        <v>0</v>
      </c>
      <c r="Z20" s="40">
        <v>0</v>
      </c>
      <c r="AA20" s="40">
        <v>0</v>
      </c>
      <c r="AB20" s="40">
        <v>0</v>
      </c>
      <c r="AC20" s="40">
        <v>0</v>
      </c>
      <c r="AD20" s="40">
        <f t="shared" si="3"/>
        <v>0</v>
      </c>
    </row>
    <row r="21" spans="3:30" x14ac:dyDescent="0.2">
      <c r="C21" s="17" t="s">
        <v>768</v>
      </c>
      <c r="D21" s="36">
        <v>0.8</v>
      </c>
      <c r="E21" s="36">
        <v>0</v>
      </c>
      <c r="F21" s="36">
        <v>0</v>
      </c>
      <c r="G21" s="36">
        <v>0</v>
      </c>
      <c r="H21" s="36">
        <v>0</v>
      </c>
      <c r="I21" s="36">
        <v>0</v>
      </c>
      <c r="J21" s="36">
        <v>0</v>
      </c>
      <c r="K21" s="36">
        <v>0</v>
      </c>
      <c r="L21" s="36">
        <v>0</v>
      </c>
      <c r="M21" s="36">
        <v>0</v>
      </c>
      <c r="N21" s="36">
        <v>0</v>
      </c>
      <c r="O21" s="36">
        <v>0</v>
      </c>
      <c r="P21" s="36">
        <v>0</v>
      </c>
      <c r="Q21" s="36">
        <v>0</v>
      </c>
      <c r="R21" s="36">
        <v>0</v>
      </c>
      <c r="S21" s="36"/>
      <c r="T21" s="36">
        <v>0</v>
      </c>
      <c r="U21" s="40">
        <v>0</v>
      </c>
      <c r="V21" s="40">
        <v>0</v>
      </c>
      <c r="W21" s="40">
        <v>0</v>
      </c>
      <c r="X21" s="40">
        <v>0</v>
      </c>
      <c r="Y21" s="40">
        <f t="shared" si="2"/>
        <v>0</v>
      </c>
      <c r="Z21" s="40">
        <v>0</v>
      </c>
      <c r="AA21" s="40">
        <v>0</v>
      </c>
      <c r="AB21" s="40">
        <v>0</v>
      </c>
      <c r="AC21" s="40">
        <v>0</v>
      </c>
      <c r="AD21" s="40">
        <f t="shared" si="3"/>
        <v>0</v>
      </c>
    </row>
    <row r="22" spans="3:30" x14ac:dyDescent="0.2">
      <c r="C22" s="17" t="s">
        <v>769</v>
      </c>
      <c r="D22" s="36">
        <v>-0.9</v>
      </c>
      <c r="E22" s="36">
        <v>0.3</v>
      </c>
      <c r="F22" s="36">
        <v>-0.7</v>
      </c>
      <c r="G22" s="36">
        <v>-1.1000000000000001</v>
      </c>
      <c r="H22" s="36">
        <v>2.1</v>
      </c>
      <c r="I22" s="36">
        <v>-0.6</v>
      </c>
      <c r="J22" s="36">
        <v>-0.29999999999999993</v>
      </c>
      <c r="K22" s="36">
        <v>0.3</v>
      </c>
      <c r="L22" s="36">
        <v>-0.7</v>
      </c>
      <c r="M22" s="36">
        <v>-0.3</v>
      </c>
      <c r="N22" s="36">
        <v>-0.6</v>
      </c>
      <c r="O22" s="36">
        <v>-1.2999999999999998</v>
      </c>
      <c r="P22" s="36">
        <v>1.4</v>
      </c>
      <c r="Q22" s="36">
        <v>-0.1</v>
      </c>
      <c r="R22" s="36">
        <v>-0.3</v>
      </c>
      <c r="S22" s="36">
        <v>0.3</v>
      </c>
      <c r="T22" s="36">
        <v>1.2999999999999998</v>
      </c>
      <c r="U22" s="40">
        <v>0</v>
      </c>
      <c r="V22" s="40">
        <v>0</v>
      </c>
      <c r="W22" s="40">
        <v>0</v>
      </c>
      <c r="X22" s="40">
        <v>0</v>
      </c>
      <c r="Y22" s="40">
        <f t="shared" si="2"/>
        <v>0</v>
      </c>
      <c r="Z22" s="40">
        <v>0</v>
      </c>
      <c r="AA22" s="40">
        <v>0</v>
      </c>
      <c r="AB22" s="40">
        <v>0</v>
      </c>
      <c r="AC22" s="40">
        <v>0</v>
      </c>
      <c r="AD22" s="40">
        <f t="shared" si="3"/>
        <v>0</v>
      </c>
    </row>
    <row r="23" spans="3:30" x14ac:dyDescent="0.2">
      <c r="C23" s="17" t="s">
        <v>770</v>
      </c>
      <c r="D23" s="36">
        <v>0</v>
      </c>
      <c r="E23" s="36">
        <v>-0.1</v>
      </c>
      <c r="F23" s="36">
        <v>-0.1</v>
      </c>
      <c r="G23" s="36">
        <v>0</v>
      </c>
      <c r="H23" s="36">
        <v>-0.4</v>
      </c>
      <c r="I23" s="36">
        <v>0.5</v>
      </c>
      <c r="J23" s="36">
        <v>0</v>
      </c>
      <c r="K23" s="36">
        <v>0</v>
      </c>
      <c r="L23" s="36">
        <v>0</v>
      </c>
      <c r="M23" s="36">
        <v>-0.7</v>
      </c>
      <c r="N23" s="36">
        <v>0.5</v>
      </c>
      <c r="O23" s="36">
        <v>-0.19999999999999996</v>
      </c>
      <c r="P23" s="36">
        <v>0</v>
      </c>
      <c r="Q23" s="36">
        <v>0</v>
      </c>
      <c r="R23" s="36">
        <v>-0.6</v>
      </c>
      <c r="S23" s="36">
        <v>0.6</v>
      </c>
      <c r="T23" s="36">
        <v>0</v>
      </c>
      <c r="U23" s="40">
        <v>0</v>
      </c>
      <c r="V23" s="40">
        <v>0</v>
      </c>
      <c r="W23" s="40">
        <v>0</v>
      </c>
      <c r="X23" s="40">
        <v>0</v>
      </c>
      <c r="Y23" s="40">
        <f t="shared" si="2"/>
        <v>0</v>
      </c>
      <c r="Z23" s="40">
        <v>0</v>
      </c>
      <c r="AA23" s="40">
        <v>0</v>
      </c>
      <c r="AB23" s="40">
        <v>0</v>
      </c>
      <c r="AC23" s="40">
        <v>0</v>
      </c>
      <c r="AD23" s="40">
        <f t="shared" si="3"/>
        <v>0</v>
      </c>
    </row>
    <row r="24" spans="3:30" x14ac:dyDescent="0.2">
      <c r="C24" s="17" t="s">
        <v>771</v>
      </c>
      <c r="D24" s="36">
        <v>0.5</v>
      </c>
      <c r="E24" s="36">
        <v>-0.1</v>
      </c>
      <c r="F24" s="36">
        <v>0.4</v>
      </c>
      <c r="G24" s="36">
        <v>-0.3</v>
      </c>
      <c r="H24" s="36">
        <v>-0.3</v>
      </c>
      <c r="I24" s="36">
        <v>0.2</v>
      </c>
      <c r="J24" s="36">
        <v>0</v>
      </c>
      <c r="K24" s="36">
        <v>0.2</v>
      </c>
      <c r="L24" s="36">
        <v>-0.3</v>
      </c>
      <c r="M24" s="36">
        <v>0.1</v>
      </c>
      <c r="N24" s="36">
        <v>0.3</v>
      </c>
      <c r="O24" s="36">
        <v>0.30000000000000004</v>
      </c>
      <c r="P24" s="36">
        <v>0</v>
      </c>
      <c r="Q24" s="36">
        <v>-0.2</v>
      </c>
      <c r="R24" s="36">
        <v>-0.1</v>
      </c>
      <c r="S24" s="36">
        <v>-0.1</v>
      </c>
      <c r="T24" s="36">
        <v>-0.4</v>
      </c>
      <c r="U24" s="40">
        <v>0</v>
      </c>
      <c r="V24" s="40">
        <v>0</v>
      </c>
      <c r="W24" s="40">
        <v>0</v>
      </c>
      <c r="X24" s="40">
        <v>0</v>
      </c>
      <c r="Y24" s="40">
        <f t="shared" si="2"/>
        <v>0</v>
      </c>
      <c r="Z24" s="40">
        <v>0</v>
      </c>
      <c r="AA24" s="40">
        <v>0</v>
      </c>
      <c r="AB24" s="40">
        <v>0</v>
      </c>
      <c r="AC24" s="40">
        <v>0</v>
      </c>
      <c r="AD24" s="40">
        <f t="shared" si="3"/>
        <v>0</v>
      </c>
    </row>
    <row r="25" spans="3:30" x14ac:dyDescent="0.2">
      <c r="C25" s="17" t="s">
        <v>772</v>
      </c>
      <c r="D25" s="36">
        <v>2.4</v>
      </c>
      <c r="E25" s="36">
        <v>0.2</v>
      </c>
      <c r="F25" s="36">
        <v>0.5</v>
      </c>
      <c r="G25" s="36">
        <v>1.1000000000000001</v>
      </c>
      <c r="H25" s="36">
        <v>1.7</v>
      </c>
      <c r="I25" s="36">
        <v>-1.9</v>
      </c>
      <c r="J25" s="36">
        <v>1.4</v>
      </c>
      <c r="K25" s="36">
        <v>-0.7</v>
      </c>
      <c r="L25" s="36">
        <v>0.6</v>
      </c>
      <c r="M25" s="36">
        <v>-0.2</v>
      </c>
      <c r="N25" s="36">
        <v>0.1</v>
      </c>
      <c r="O25" s="36">
        <v>-0.19999999999999998</v>
      </c>
      <c r="P25" s="36">
        <v>-0.8</v>
      </c>
      <c r="Q25" s="36">
        <v>-0.7</v>
      </c>
      <c r="R25" s="36">
        <v>0</v>
      </c>
      <c r="S25" s="36">
        <v>4.5999999999999996</v>
      </c>
      <c r="T25" s="36">
        <v>3.0999999999999996</v>
      </c>
      <c r="U25" s="40">
        <v>0</v>
      </c>
      <c r="V25" s="40">
        <v>0</v>
      </c>
      <c r="W25" s="40">
        <v>0</v>
      </c>
      <c r="X25" s="40">
        <v>0</v>
      </c>
      <c r="Y25" s="40">
        <f t="shared" si="2"/>
        <v>0</v>
      </c>
      <c r="Z25" s="40">
        <v>0</v>
      </c>
      <c r="AA25" s="40">
        <v>0</v>
      </c>
      <c r="AB25" s="40">
        <v>0</v>
      </c>
      <c r="AC25" s="40">
        <v>0</v>
      </c>
      <c r="AD25" s="40">
        <f t="shared" si="3"/>
        <v>0</v>
      </c>
    </row>
    <row r="26" spans="3:30" x14ac:dyDescent="0.2">
      <c r="C26" s="17" t="s">
        <v>773</v>
      </c>
      <c r="D26" s="36">
        <v>-0.2</v>
      </c>
      <c r="E26" s="36">
        <v>0</v>
      </c>
      <c r="F26" s="36">
        <v>0.2</v>
      </c>
      <c r="G26" s="36">
        <v>0.3</v>
      </c>
      <c r="H26" s="36">
        <v>0</v>
      </c>
      <c r="I26" s="36">
        <v>-0.6</v>
      </c>
      <c r="J26" s="36">
        <v>-9.9999999999999978E-2</v>
      </c>
      <c r="K26" s="36">
        <v>0</v>
      </c>
      <c r="L26" s="36">
        <v>0</v>
      </c>
      <c r="M26" s="36">
        <v>0</v>
      </c>
      <c r="N26" s="36">
        <v>0</v>
      </c>
      <c r="O26" s="36">
        <v>0</v>
      </c>
      <c r="P26" s="36">
        <v>0</v>
      </c>
      <c r="Q26" s="36">
        <v>0</v>
      </c>
      <c r="R26" s="36">
        <v>0</v>
      </c>
      <c r="S26" s="36">
        <v>-0.1</v>
      </c>
      <c r="T26" s="36">
        <v>-0.1</v>
      </c>
      <c r="U26" s="40">
        <v>0</v>
      </c>
      <c r="V26" s="40">
        <v>0</v>
      </c>
      <c r="W26" s="40">
        <v>0</v>
      </c>
      <c r="X26" s="40">
        <v>0</v>
      </c>
      <c r="Y26" s="40">
        <f t="shared" si="2"/>
        <v>0</v>
      </c>
      <c r="Z26" s="40">
        <v>0</v>
      </c>
      <c r="AA26" s="40">
        <v>0</v>
      </c>
      <c r="AB26" s="40">
        <v>0</v>
      </c>
      <c r="AC26" s="40">
        <v>0</v>
      </c>
      <c r="AD26" s="40">
        <f t="shared" si="3"/>
        <v>0</v>
      </c>
    </row>
    <row r="27" spans="3:30" x14ac:dyDescent="0.2">
      <c r="C27" s="17" t="s">
        <v>774</v>
      </c>
      <c r="D27" s="36">
        <v>0</v>
      </c>
      <c r="E27" s="36">
        <v>0</v>
      </c>
      <c r="F27" s="36">
        <v>0</v>
      </c>
      <c r="G27" s="36">
        <v>0</v>
      </c>
      <c r="H27" s="36">
        <v>0</v>
      </c>
      <c r="I27" s="36">
        <v>0</v>
      </c>
      <c r="J27" s="36">
        <v>0</v>
      </c>
      <c r="K27" s="36">
        <v>0</v>
      </c>
      <c r="L27" s="36">
        <v>0</v>
      </c>
      <c r="M27" s="36">
        <v>0</v>
      </c>
      <c r="N27" s="36">
        <v>0</v>
      </c>
      <c r="O27" s="36">
        <v>0</v>
      </c>
      <c r="P27" s="36">
        <v>0</v>
      </c>
      <c r="Q27" s="36">
        <v>0</v>
      </c>
      <c r="R27" s="36">
        <v>0</v>
      </c>
      <c r="S27" s="36">
        <v>0</v>
      </c>
      <c r="T27" s="36">
        <v>0</v>
      </c>
      <c r="U27" s="40">
        <v>0</v>
      </c>
      <c r="V27" s="40">
        <v>0</v>
      </c>
      <c r="W27" s="40">
        <v>0</v>
      </c>
      <c r="X27" s="40">
        <v>0</v>
      </c>
      <c r="Y27" s="40">
        <f t="shared" si="2"/>
        <v>0</v>
      </c>
      <c r="Z27" s="40">
        <v>0</v>
      </c>
      <c r="AA27" s="40">
        <v>0</v>
      </c>
      <c r="AB27" s="40">
        <v>0</v>
      </c>
      <c r="AC27" s="40">
        <v>0</v>
      </c>
      <c r="AD27" s="40">
        <f t="shared" si="3"/>
        <v>0</v>
      </c>
    </row>
    <row r="28" spans="3:30" x14ac:dyDescent="0.2">
      <c r="C28" s="32" t="s">
        <v>139</v>
      </c>
      <c r="D28" s="33">
        <f t="shared" ref="D28:AD28" si="4">SUM(D19:D27,D17)</f>
        <v>4.9999999999999991</v>
      </c>
      <c r="E28" s="33">
        <f t="shared" si="4"/>
        <v>21.799999999999997</v>
      </c>
      <c r="F28" s="33">
        <f t="shared" si="4"/>
        <v>9</v>
      </c>
      <c r="G28" s="33">
        <f t="shared" si="4"/>
        <v>20</v>
      </c>
      <c r="H28" s="33">
        <f t="shared" si="4"/>
        <v>27.699999999999996</v>
      </c>
      <c r="I28" s="33">
        <f t="shared" si="4"/>
        <v>26.800000000000004</v>
      </c>
      <c r="J28" s="33">
        <f t="shared" si="4"/>
        <v>83.500000000000014</v>
      </c>
      <c r="K28" s="33">
        <f t="shared" si="4"/>
        <v>8.6</v>
      </c>
      <c r="L28" s="33">
        <f t="shared" si="4"/>
        <v>14.500000000000002</v>
      </c>
      <c r="M28" s="33">
        <f t="shared" si="4"/>
        <v>9.1999999999999993</v>
      </c>
      <c r="N28" s="33">
        <f t="shared" si="4"/>
        <v>9.9999999999999964</v>
      </c>
      <c r="O28" s="33">
        <f t="shared" si="4"/>
        <v>42.3</v>
      </c>
      <c r="P28" s="33">
        <f t="shared" si="4"/>
        <v>4.4000000000000004</v>
      </c>
      <c r="Q28" s="33">
        <f t="shared" si="4"/>
        <v>6.8000000000000016</v>
      </c>
      <c r="R28" s="33">
        <f t="shared" si="4"/>
        <v>7.1</v>
      </c>
      <c r="S28" s="33">
        <f t="shared" si="4"/>
        <v>22.900000000000002</v>
      </c>
      <c r="T28" s="33">
        <f t="shared" si="4"/>
        <v>41.199999999999989</v>
      </c>
      <c r="U28" s="33">
        <f t="shared" si="4"/>
        <v>16.510000000000002</v>
      </c>
      <c r="V28" s="33">
        <f t="shared" si="4"/>
        <v>7.1262499999999989</v>
      </c>
      <c r="W28" s="33">
        <f t="shared" si="4"/>
        <v>8.477525</v>
      </c>
      <c r="X28" s="33">
        <f t="shared" si="4"/>
        <v>9.6007250000000006</v>
      </c>
      <c r="Y28" s="33">
        <f t="shared" si="4"/>
        <v>41.714500000000001</v>
      </c>
      <c r="Z28" s="33">
        <f t="shared" si="4"/>
        <v>4.4243659999999991</v>
      </c>
      <c r="AA28" s="33">
        <f t="shared" si="4"/>
        <v>8.755706</v>
      </c>
      <c r="AB28" s="33">
        <f t="shared" si="4"/>
        <v>13.627586000000001</v>
      </c>
      <c r="AC28" s="33">
        <f t="shared" si="4"/>
        <v>12.648997999999999</v>
      </c>
      <c r="AD28" s="33">
        <f t="shared" si="4"/>
        <v>39.456656000000002</v>
      </c>
    </row>
    <row r="29" spans="3:30" ht="5.0999999999999996" customHeight="1" x14ac:dyDescent="0.2">
      <c r="D29" s="37"/>
      <c r="E29" s="37"/>
      <c r="F29" s="37"/>
      <c r="G29" s="37"/>
      <c r="H29" s="37"/>
      <c r="I29" s="37"/>
      <c r="J29" s="37"/>
      <c r="K29" s="37"/>
      <c r="L29" s="37"/>
      <c r="M29" s="37"/>
      <c r="N29" s="37"/>
      <c r="O29" s="37"/>
      <c r="P29" s="37"/>
      <c r="Q29" s="37"/>
      <c r="R29" s="37"/>
      <c r="S29" s="37"/>
      <c r="T29" s="37"/>
    </row>
    <row r="30" spans="3:30" x14ac:dyDescent="0.2">
      <c r="C30" s="17" t="s">
        <v>775</v>
      </c>
      <c r="D30" s="36">
        <v>-0.9</v>
      </c>
      <c r="E30" s="36">
        <v>0.8</v>
      </c>
      <c r="F30" s="36">
        <v>0</v>
      </c>
      <c r="G30" s="36">
        <v>0</v>
      </c>
      <c r="H30" s="36">
        <v>0</v>
      </c>
      <c r="I30" s="36">
        <v>0</v>
      </c>
      <c r="J30" s="36">
        <v>0</v>
      </c>
      <c r="K30" s="36">
        <v>0</v>
      </c>
      <c r="L30" s="36">
        <v>0</v>
      </c>
      <c r="M30" s="36">
        <v>0</v>
      </c>
      <c r="N30" s="36">
        <v>0</v>
      </c>
      <c r="O30" s="36">
        <v>0</v>
      </c>
      <c r="P30" s="36">
        <v>0</v>
      </c>
      <c r="Q30" s="36">
        <v>0</v>
      </c>
      <c r="R30" s="36">
        <v>0</v>
      </c>
      <c r="S30" s="36">
        <v>0</v>
      </c>
      <c r="T30" s="36">
        <v>0</v>
      </c>
      <c r="U30" s="40">
        <v>0</v>
      </c>
      <c r="V30" s="40">
        <v>0</v>
      </c>
      <c r="W30" s="40">
        <v>0</v>
      </c>
      <c r="X30" s="40">
        <v>0</v>
      </c>
      <c r="Y30" s="40">
        <f>+SUM(U30:X30)</f>
        <v>0</v>
      </c>
      <c r="Z30" s="40">
        <v>0</v>
      </c>
      <c r="AA30" s="40">
        <v>0</v>
      </c>
      <c r="AB30" s="40">
        <v>0</v>
      </c>
      <c r="AC30" s="40">
        <v>0</v>
      </c>
      <c r="AD30" s="40">
        <f>+SUM(Z30:AC30)</f>
        <v>0</v>
      </c>
    </row>
    <row r="31" spans="3:30" x14ac:dyDescent="0.2">
      <c r="C31" s="17" t="s">
        <v>563</v>
      </c>
      <c r="D31" s="36">
        <v>-125.4</v>
      </c>
      <c r="E31" s="36">
        <v>-124</v>
      </c>
      <c r="F31" s="36">
        <v>0</v>
      </c>
      <c r="G31" s="36">
        <v>0</v>
      </c>
      <c r="H31" s="36">
        <v>0</v>
      </c>
      <c r="I31" s="36">
        <v>0</v>
      </c>
      <c r="J31" s="36">
        <v>0</v>
      </c>
      <c r="K31" s="36">
        <v>0</v>
      </c>
      <c r="L31" s="36">
        <v>0</v>
      </c>
      <c r="M31" s="36">
        <v>0</v>
      </c>
      <c r="N31" s="36">
        <v>0</v>
      </c>
      <c r="O31" s="36">
        <v>0</v>
      </c>
      <c r="P31" s="36">
        <v>0</v>
      </c>
      <c r="Q31" s="36">
        <v>0</v>
      </c>
      <c r="R31" s="36">
        <v>0</v>
      </c>
      <c r="S31" s="36">
        <v>0</v>
      </c>
      <c r="T31" s="36">
        <v>0</v>
      </c>
      <c r="U31" s="40">
        <v>127.5</v>
      </c>
      <c r="V31" s="40">
        <v>0</v>
      </c>
      <c r="W31" s="40">
        <v>0</v>
      </c>
      <c r="X31" s="40">
        <v>0</v>
      </c>
      <c r="Y31" s="40">
        <f>+SUM(U31:X31)</f>
        <v>127.5</v>
      </c>
      <c r="Z31" s="40">
        <v>0</v>
      </c>
      <c r="AA31" s="40">
        <v>0</v>
      </c>
      <c r="AB31" s="40">
        <v>0</v>
      </c>
      <c r="AC31" s="40">
        <v>0</v>
      </c>
      <c r="AD31" s="40">
        <f>+SUM(Z31:AC31)</f>
        <v>0</v>
      </c>
    </row>
    <row r="32" spans="3:30" x14ac:dyDescent="0.2">
      <c r="C32" s="32" t="s">
        <v>138</v>
      </c>
      <c r="D32" s="33">
        <f t="shared" ref="D32:AD32" si="5">+SUM(D30:D31)</f>
        <v>-126.30000000000001</v>
      </c>
      <c r="E32" s="33">
        <f t="shared" si="5"/>
        <v>-123.2</v>
      </c>
      <c r="F32" s="33">
        <f t="shared" si="5"/>
        <v>0</v>
      </c>
      <c r="G32" s="33">
        <f t="shared" si="5"/>
        <v>0</v>
      </c>
      <c r="H32" s="33">
        <f t="shared" si="5"/>
        <v>0</v>
      </c>
      <c r="I32" s="33">
        <f t="shared" si="5"/>
        <v>0</v>
      </c>
      <c r="J32" s="33">
        <f t="shared" si="5"/>
        <v>0</v>
      </c>
      <c r="K32" s="33">
        <f t="shared" si="5"/>
        <v>0</v>
      </c>
      <c r="L32" s="33">
        <f t="shared" si="5"/>
        <v>0</v>
      </c>
      <c r="M32" s="33">
        <f t="shared" si="5"/>
        <v>0</v>
      </c>
      <c r="N32" s="33">
        <f t="shared" si="5"/>
        <v>0</v>
      </c>
      <c r="O32" s="33">
        <f t="shared" si="5"/>
        <v>0</v>
      </c>
      <c r="P32" s="33">
        <f t="shared" si="5"/>
        <v>0</v>
      </c>
      <c r="Q32" s="33">
        <f t="shared" si="5"/>
        <v>0</v>
      </c>
      <c r="R32" s="33">
        <f t="shared" si="5"/>
        <v>0</v>
      </c>
      <c r="S32" s="33">
        <f t="shared" si="5"/>
        <v>0</v>
      </c>
      <c r="T32" s="33">
        <f t="shared" si="5"/>
        <v>0</v>
      </c>
      <c r="U32" s="33">
        <f t="shared" si="5"/>
        <v>127.5</v>
      </c>
      <c r="V32" s="33">
        <f t="shared" si="5"/>
        <v>0</v>
      </c>
      <c r="W32" s="33">
        <f t="shared" si="5"/>
        <v>0</v>
      </c>
      <c r="X32" s="33">
        <f t="shared" si="5"/>
        <v>0</v>
      </c>
      <c r="Y32" s="33">
        <f t="shared" si="5"/>
        <v>127.5</v>
      </c>
      <c r="Z32" s="33">
        <f t="shared" si="5"/>
        <v>0</v>
      </c>
      <c r="AA32" s="33">
        <f t="shared" si="5"/>
        <v>0</v>
      </c>
      <c r="AB32" s="33">
        <f t="shared" si="5"/>
        <v>0</v>
      </c>
      <c r="AC32" s="33">
        <f t="shared" si="5"/>
        <v>0</v>
      </c>
      <c r="AD32" s="33">
        <f t="shared" si="5"/>
        <v>0</v>
      </c>
    </row>
    <row r="33" spans="3:30" ht="5.0999999999999996" customHeight="1" x14ac:dyDescent="0.2">
      <c r="D33" s="37"/>
      <c r="E33" s="37"/>
      <c r="F33" s="37"/>
      <c r="G33" s="37"/>
      <c r="H33" s="37"/>
      <c r="I33" s="37"/>
      <c r="J33" s="37"/>
      <c r="K33" s="37"/>
      <c r="L33" s="37"/>
      <c r="M33" s="37"/>
      <c r="N33" s="37"/>
      <c r="O33" s="37"/>
      <c r="P33" s="37"/>
      <c r="Q33" s="37"/>
      <c r="R33" s="37"/>
      <c r="S33" s="37"/>
      <c r="T33" s="37"/>
    </row>
    <row r="34" spans="3:30" x14ac:dyDescent="0.2">
      <c r="C34" s="17" t="s">
        <v>776</v>
      </c>
      <c r="D34" s="36">
        <v>86.4</v>
      </c>
      <c r="E34" s="36">
        <v>118.9</v>
      </c>
      <c r="F34" s="36">
        <v>0</v>
      </c>
      <c r="G34" s="36">
        <v>0</v>
      </c>
      <c r="H34" s="36">
        <v>0</v>
      </c>
      <c r="I34" s="36">
        <v>-0.9</v>
      </c>
      <c r="J34" s="36">
        <v>-0.9</v>
      </c>
      <c r="K34" s="36">
        <v>0</v>
      </c>
      <c r="L34" s="36">
        <v>0</v>
      </c>
      <c r="M34" s="36">
        <v>0</v>
      </c>
      <c r="N34" s="36">
        <v>0</v>
      </c>
      <c r="O34" s="36">
        <v>0</v>
      </c>
      <c r="P34" s="36">
        <v>0</v>
      </c>
      <c r="Q34" s="36">
        <v>0</v>
      </c>
      <c r="R34" s="36">
        <v>0</v>
      </c>
      <c r="S34" s="36">
        <v>0</v>
      </c>
      <c r="T34" s="36">
        <v>0</v>
      </c>
      <c r="U34" s="40">
        <v>0</v>
      </c>
      <c r="V34" s="40"/>
      <c r="W34" s="40"/>
      <c r="X34" s="40"/>
      <c r="Y34" s="40">
        <f>+SUM(U34:X34)</f>
        <v>0</v>
      </c>
      <c r="Z34" s="40"/>
      <c r="AA34" s="40"/>
      <c r="AB34" s="40"/>
      <c r="AC34" s="40"/>
      <c r="AD34" s="40">
        <f>+SUM(Z34:AC34)</f>
        <v>0</v>
      </c>
    </row>
    <row r="35" spans="3:30" x14ac:dyDescent="0.2">
      <c r="C35" s="17" t="s">
        <v>569</v>
      </c>
      <c r="D35" s="36">
        <v>-5.9</v>
      </c>
      <c r="E35" s="36">
        <v>-12.4</v>
      </c>
      <c r="F35" s="36">
        <v>-3.7</v>
      </c>
      <c r="G35" s="36">
        <v>-3.7</v>
      </c>
      <c r="H35" s="36">
        <v>-3.7</v>
      </c>
      <c r="I35" s="36">
        <v>-2.9</v>
      </c>
      <c r="J35" s="36">
        <v>-14.000000000000002</v>
      </c>
      <c r="K35" s="36">
        <v>-3.7</v>
      </c>
      <c r="L35" s="36">
        <v>-3.7</v>
      </c>
      <c r="M35" s="36">
        <v>-3.7</v>
      </c>
      <c r="N35" s="36">
        <v>-3.7</v>
      </c>
      <c r="O35" s="36">
        <v>-14.8</v>
      </c>
      <c r="P35" s="36">
        <v>-3.7</v>
      </c>
      <c r="Q35" s="36">
        <v>-3.7</v>
      </c>
      <c r="R35" s="36">
        <v>-3.7</v>
      </c>
      <c r="S35" s="36">
        <v>-3.7</v>
      </c>
      <c r="T35" s="36">
        <v>-14.8</v>
      </c>
      <c r="U35" s="130">
        <f>+S35-(U31+U36)</f>
        <v>-83.428576299999989</v>
      </c>
      <c r="V35" s="130">
        <f>+$S$35/8*6</f>
        <v>-2.7750000000000004</v>
      </c>
      <c r="W35" s="130">
        <f>+$S$35/8*6</f>
        <v>-2.7750000000000004</v>
      </c>
      <c r="X35" s="130">
        <f>+$S$35/8*6</f>
        <v>-2.7750000000000004</v>
      </c>
      <c r="Y35" s="40">
        <f>+SUM(U35:X35)</f>
        <v>-91.753576300000006</v>
      </c>
      <c r="Z35" s="130">
        <f>+$S$35/8*6</f>
        <v>-2.7750000000000004</v>
      </c>
      <c r="AA35" s="130">
        <f>+$S$35/8*6</f>
        <v>-2.7750000000000004</v>
      </c>
      <c r="AB35" s="130">
        <f>+$S$35/8*6</f>
        <v>-2.7750000000000004</v>
      </c>
      <c r="AC35" s="130">
        <f>+$S$35/8*6</f>
        <v>-2.7750000000000004</v>
      </c>
      <c r="AD35" s="40">
        <f>+SUM(Z35:AC35)</f>
        <v>-11.100000000000001</v>
      </c>
    </row>
    <row r="36" spans="3:30" x14ac:dyDescent="0.2">
      <c r="C36" s="17" t="s">
        <v>777</v>
      </c>
      <c r="D36" s="36">
        <v>-3</v>
      </c>
      <c r="E36" s="36">
        <v>-5.3</v>
      </c>
      <c r="F36" s="36">
        <v>-4.9000000000000004</v>
      </c>
      <c r="G36" s="36">
        <v>-14.4</v>
      </c>
      <c r="H36" s="36">
        <v>-18.2</v>
      </c>
      <c r="I36" s="36">
        <v>-27.4</v>
      </c>
      <c r="J36" s="36">
        <v>-64.900000000000006</v>
      </c>
      <c r="K36" s="36">
        <v>-11.1</v>
      </c>
      <c r="L36" s="36">
        <v>-10.199999999999999</v>
      </c>
      <c r="M36" s="36">
        <v>-9.3000000000000007</v>
      </c>
      <c r="N36" s="36">
        <v>-5.3</v>
      </c>
      <c r="O36" s="36">
        <v>-35.9</v>
      </c>
      <c r="P36" s="36">
        <v>-2.4</v>
      </c>
      <c r="Q36" s="36">
        <v>-3.9</v>
      </c>
      <c r="R36" s="36">
        <v>-2.5</v>
      </c>
      <c r="S36" s="36">
        <v>-5.7</v>
      </c>
      <c r="T36" s="36">
        <v>-14.5</v>
      </c>
      <c r="U36" s="131">
        <f>-(D126+D138+D150)*U75</f>
        <v>-47.771423700000007</v>
      </c>
      <c r="V36" s="40">
        <f>-(V28+V32+V35)</f>
        <v>-4.3512499999999985</v>
      </c>
      <c r="W36" s="40">
        <f>-(W28+W32+W35)</f>
        <v>-5.7025249999999996</v>
      </c>
      <c r="X36" s="40">
        <f>-(X28+X32+X35)</f>
        <v>-6.8257250000000003</v>
      </c>
      <c r="Y36" s="40">
        <f>+SUM(U36:X36)</f>
        <v>-64.650923700000007</v>
      </c>
      <c r="Z36" s="40">
        <f>-(Z28+Z32+Z35)</f>
        <v>-1.6493659999999988</v>
      </c>
      <c r="AA36" s="40">
        <f>-(AA28+AA32+AA35)</f>
        <v>-5.9807059999999996</v>
      </c>
      <c r="AB36" s="40">
        <f>-(AB28+AB32+AB35)</f>
        <v>-10.852586000000001</v>
      </c>
      <c r="AC36" s="40">
        <f>-(AC28+AC32+AC35)</f>
        <v>-9.8739979999999985</v>
      </c>
      <c r="AD36" s="40">
        <f>+SUM(Z36:AC36)</f>
        <v>-28.356656000000001</v>
      </c>
    </row>
    <row r="37" spans="3:30" x14ac:dyDescent="0.2">
      <c r="C37" s="17" t="s">
        <v>778</v>
      </c>
      <c r="D37" s="36">
        <v>63.6</v>
      </c>
      <c r="E37" s="36">
        <v>0</v>
      </c>
      <c r="F37" s="36">
        <v>0</v>
      </c>
      <c r="G37" s="36">
        <v>0</v>
      </c>
      <c r="H37" s="36">
        <v>0.4</v>
      </c>
      <c r="I37" s="36">
        <v>0</v>
      </c>
      <c r="J37" s="36">
        <v>0.4</v>
      </c>
      <c r="K37" s="36">
        <v>0</v>
      </c>
      <c r="L37" s="36">
        <v>0</v>
      </c>
      <c r="M37" s="36">
        <v>0</v>
      </c>
      <c r="N37" s="36">
        <v>0</v>
      </c>
      <c r="O37" s="36">
        <v>0</v>
      </c>
      <c r="P37" s="36">
        <v>2</v>
      </c>
      <c r="Q37" s="36">
        <v>0</v>
      </c>
      <c r="R37" s="36">
        <v>0.5</v>
      </c>
      <c r="S37" s="36">
        <v>0.7</v>
      </c>
      <c r="T37" s="36">
        <v>3.2</v>
      </c>
      <c r="U37" s="40">
        <v>0</v>
      </c>
      <c r="V37" s="40">
        <v>0</v>
      </c>
      <c r="W37" s="40">
        <v>0</v>
      </c>
      <c r="X37" s="40">
        <v>0</v>
      </c>
      <c r="Y37" s="40">
        <f>+SUM(U37:X37)</f>
        <v>0</v>
      </c>
      <c r="Z37" s="40">
        <v>0</v>
      </c>
      <c r="AA37" s="40">
        <v>0</v>
      </c>
      <c r="AB37" s="40">
        <v>0</v>
      </c>
      <c r="AC37" s="40">
        <v>0</v>
      </c>
      <c r="AD37" s="40">
        <f>+SUM(Z37:AC37)</f>
        <v>0</v>
      </c>
    </row>
    <row r="38" spans="3:30" x14ac:dyDescent="0.2">
      <c r="C38" s="32" t="s">
        <v>140</v>
      </c>
      <c r="D38" s="33">
        <f t="shared" ref="D38:AD38" si="6">SUM(D34:D37)</f>
        <v>141.1</v>
      </c>
      <c r="E38" s="33">
        <f t="shared" si="6"/>
        <v>101.2</v>
      </c>
      <c r="F38" s="33">
        <f t="shared" si="6"/>
        <v>-8.6000000000000014</v>
      </c>
      <c r="G38" s="33">
        <f t="shared" si="6"/>
        <v>-18.100000000000001</v>
      </c>
      <c r="H38" s="33">
        <f t="shared" si="6"/>
        <v>-21.5</v>
      </c>
      <c r="I38" s="33">
        <f t="shared" si="6"/>
        <v>-31.2</v>
      </c>
      <c r="J38" s="33">
        <f t="shared" si="6"/>
        <v>-79.400000000000006</v>
      </c>
      <c r="K38" s="33">
        <f t="shared" si="6"/>
        <v>-14.8</v>
      </c>
      <c r="L38" s="33">
        <f t="shared" si="6"/>
        <v>-13.899999999999999</v>
      </c>
      <c r="M38" s="33">
        <f t="shared" si="6"/>
        <v>-13</v>
      </c>
      <c r="N38" s="33">
        <f t="shared" si="6"/>
        <v>-9</v>
      </c>
      <c r="O38" s="33">
        <f t="shared" si="6"/>
        <v>-50.7</v>
      </c>
      <c r="P38" s="33">
        <f t="shared" si="6"/>
        <v>-4.0999999999999996</v>
      </c>
      <c r="Q38" s="33">
        <f t="shared" si="6"/>
        <v>-7.6</v>
      </c>
      <c r="R38" s="33">
        <f t="shared" si="6"/>
        <v>-5.7</v>
      </c>
      <c r="S38" s="33">
        <f t="shared" si="6"/>
        <v>-8.7000000000000011</v>
      </c>
      <c r="T38" s="33">
        <f t="shared" si="6"/>
        <v>-26.1</v>
      </c>
      <c r="U38" s="33">
        <f t="shared" si="6"/>
        <v>-131.19999999999999</v>
      </c>
      <c r="V38" s="33">
        <f t="shared" si="6"/>
        <v>-7.1262499999999989</v>
      </c>
      <c r="W38" s="33">
        <f t="shared" si="6"/>
        <v>-8.477525</v>
      </c>
      <c r="X38" s="33">
        <f t="shared" si="6"/>
        <v>-9.6007250000000006</v>
      </c>
      <c r="Y38" s="33">
        <f t="shared" si="6"/>
        <v>-156.40450000000001</v>
      </c>
      <c r="Z38" s="33">
        <f t="shared" si="6"/>
        <v>-4.4243659999999991</v>
      </c>
      <c r="AA38" s="33">
        <f t="shared" si="6"/>
        <v>-8.755706</v>
      </c>
      <c r="AB38" s="33">
        <f t="shared" si="6"/>
        <v>-13.627586000000001</v>
      </c>
      <c r="AC38" s="33">
        <f t="shared" si="6"/>
        <v>-12.648997999999999</v>
      </c>
      <c r="AD38" s="33">
        <f t="shared" si="6"/>
        <v>-39.456656000000002</v>
      </c>
    </row>
    <row r="39" spans="3:30" ht="5.0999999999999996" customHeight="1" x14ac:dyDescent="0.2">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row>
    <row r="40" spans="3:30" x14ac:dyDescent="0.2">
      <c r="C40" s="32" t="s">
        <v>141</v>
      </c>
      <c r="D40" s="33">
        <f t="shared" ref="D40:AD40" si="7">+D38+D32+D28</f>
        <v>19.799999999999983</v>
      </c>
      <c r="E40" s="33">
        <f t="shared" si="7"/>
        <v>-0.20000000000000284</v>
      </c>
      <c r="F40" s="33">
        <f t="shared" si="7"/>
        <v>0.39999999999999858</v>
      </c>
      <c r="G40" s="33">
        <f t="shared" si="7"/>
        <v>1.8999999999999986</v>
      </c>
      <c r="H40" s="33">
        <f t="shared" si="7"/>
        <v>6.1999999999999957</v>
      </c>
      <c r="I40" s="33">
        <f t="shared" si="7"/>
        <v>-4.399999999999995</v>
      </c>
      <c r="J40" s="33">
        <f t="shared" si="7"/>
        <v>4.1000000000000085</v>
      </c>
      <c r="K40" s="33">
        <f t="shared" si="7"/>
        <v>-6.2000000000000011</v>
      </c>
      <c r="L40" s="33">
        <f t="shared" si="7"/>
        <v>0.6000000000000032</v>
      </c>
      <c r="M40" s="33">
        <f t="shared" si="7"/>
        <v>-3.8000000000000007</v>
      </c>
      <c r="N40" s="33">
        <f t="shared" si="7"/>
        <v>0.99999999999999645</v>
      </c>
      <c r="O40" s="33">
        <f t="shared" si="7"/>
        <v>-8.4000000000000057</v>
      </c>
      <c r="P40" s="33">
        <f t="shared" si="7"/>
        <v>0.30000000000000071</v>
      </c>
      <c r="Q40" s="33">
        <f t="shared" si="7"/>
        <v>-0.79999999999999805</v>
      </c>
      <c r="R40" s="33">
        <f t="shared" si="7"/>
        <v>1.3999999999999995</v>
      </c>
      <c r="S40" s="33">
        <f t="shared" si="7"/>
        <v>14.200000000000001</v>
      </c>
      <c r="T40" s="33">
        <f t="shared" si="7"/>
        <v>15.099999999999987</v>
      </c>
      <c r="U40" s="33">
        <f t="shared" si="7"/>
        <v>12.810000000000013</v>
      </c>
      <c r="V40" s="33">
        <f t="shared" si="7"/>
        <v>0</v>
      </c>
      <c r="W40" s="33">
        <f t="shared" si="7"/>
        <v>0</v>
      </c>
      <c r="X40" s="33">
        <f t="shared" si="7"/>
        <v>0</v>
      </c>
      <c r="Y40" s="33">
        <f t="shared" si="7"/>
        <v>12.809999999999988</v>
      </c>
      <c r="Z40" s="33">
        <f t="shared" si="7"/>
        <v>0</v>
      </c>
      <c r="AA40" s="33">
        <f t="shared" si="7"/>
        <v>0</v>
      </c>
      <c r="AB40" s="33">
        <f t="shared" si="7"/>
        <v>0</v>
      </c>
      <c r="AC40" s="33">
        <f t="shared" si="7"/>
        <v>0</v>
      </c>
      <c r="AD40" s="33">
        <f t="shared" si="7"/>
        <v>0</v>
      </c>
    </row>
    <row r="41" spans="3:30" x14ac:dyDescent="0.2">
      <c r="C41" s="17" t="s">
        <v>142</v>
      </c>
      <c r="D41" s="34">
        <v>0</v>
      </c>
      <c r="E41" s="34">
        <v>0</v>
      </c>
      <c r="F41" s="34">
        <v>0</v>
      </c>
      <c r="G41" s="34">
        <v>0</v>
      </c>
      <c r="H41" s="34">
        <v>0</v>
      </c>
      <c r="I41" s="34">
        <v>0</v>
      </c>
      <c r="J41" s="34">
        <v>0</v>
      </c>
      <c r="K41" s="34">
        <v>0</v>
      </c>
      <c r="L41" s="34">
        <v>0</v>
      </c>
      <c r="M41" s="34">
        <v>0</v>
      </c>
      <c r="N41" s="34">
        <v>0</v>
      </c>
      <c r="O41" s="34">
        <v>0</v>
      </c>
      <c r="P41" s="34">
        <v>0</v>
      </c>
      <c r="Q41" s="34">
        <v>0</v>
      </c>
      <c r="R41" s="34">
        <v>0</v>
      </c>
      <c r="S41" s="34"/>
      <c r="T41" s="34"/>
    </row>
    <row r="42" spans="3:30" x14ac:dyDescent="0.2">
      <c r="C42" s="17" t="s">
        <v>143</v>
      </c>
      <c r="D42" s="34">
        <v>0.3</v>
      </c>
      <c r="E42" s="39">
        <f>+D43</f>
        <v>20.099999999999984</v>
      </c>
      <c r="F42" s="39">
        <f t="shared" ref="F42:AC42" si="8">+E43</f>
        <v>19.899999999999981</v>
      </c>
      <c r="G42" s="39">
        <f t="shared" si="8"/>
        <v>20.299999999999979</v>
      </c>
      <c r="H42" s="39">
        <f t="shared" si="8"/>
        <v>22.199999999999978</v>
      </c>
      <c r="I42" s="39">
        <f t="shared" si="8"/>
        <v>28.399999999999974</v>
      </c>
      <c r="J42" s="39">
        <f>+E43</f>
        <v>19.899999999999981</v>
      </c>
      <c r="K42" s="39">
        <f t="shared" si="8"/>
        <v>23.999999999999989</v>
      </c>
      <c r="L42" s="39">
        <f t="shared" si="8"/>
        <v>17.899999999999999</v>
      </c>
      <c r="M42" s="39">
        <f t="shared" si="8"/>
        <v>18.5</v>
      </c>
      <c r="N42" s="39">
        <f t="shared" si="8"/>
        <v>14.7</v>
      </c>
      <c r="O42" s="39">
        <f>+J43</f>
        <v>23.999999999999989</v>
      </c>
      <c r="P42" s="39">
        <f t="shared" si="8"/>
        <v>15.599999999999984</v>
      </c>
      <c r="Q42" s="39">
        <f t="shared" si="8"/>
        <v>15.899999999999984</v>
      </c>
      <c r="R42" s="39">
        <f t="shared" si="8"/>
        <v>15.099999999999987</v>
      </c>
      <c r="S42" s="39">
        <f t="shared" si="8"/>
        <v>16.499999999999986</v>
      </c>
      <c r="T42" s="39">
        <f>+O43</f>
        <v>15.599999999999984</v>
      </c>
      <c r="U42" s="39">
        <f t="shared" si="8"/>
        <v>30.699999999999971</v>
      </c>
      <c r="V42" s="39">
        <f t="shared" si="8"/>
        <v>43.509999999999984</v>
      </c>
      <c r="W42" s="39">
        <f t="shared" si="8"/>
        <v>43.509999999999984</v>
      </c>
      <c r="X42" s="39">
        <f t="shared" si="8"/>
        <v>43.509999999999984</v>
      </c>
      <c r="Y42" s="39">
        <f>+T43</f>
        <v>30.699999999999971</v>
      </c>
      <c r="Z42" s="39">
        <f t="shared" si="8"/>
        <v>43.509999999999962</v>
      </c>
      <c r="AA42" s="39">
        <f t="shared" si="8"/>
        <v>43.509999999999962</v>
      </c>
      <c r="AB42" s="39">
        <f t="shared" si="8"/>
        <v>43.509999999999962</v>
      </c>
      <c r="AC42" s="39">
        <f t="shared" si="8"/>
        <v>43.509999999999962</v>
      </c>
      <c r="AD42" s="39">
        <f>+Y43</f>
        <v>43.509999999999962</v>
      </c>
    </row>
    <row r="43" spans="3:30" x14ac:dyDescent="0.2">
      <c r="C43" s="32" t="s">
        <v>144</v>
      </c>
      <c r="D43" s="33">
        <f>+D40+D41+D42</f>
        <v>20.099999999999984</v>
      </c>
      <c r="E43" s="33">
        <f>+E40+E41+E42</f>
        <v>19.899999999999981</v>
      </c>
      <c r="F43" s="33">
        <f t="shared" ref="F43:AD43" si="9">+F40+F41+F42</f>
        <v>20.299999999999979</v>
      </c>
      <c r="G43" s="33">
        <f t="shared" si="9"/>
        <v>22.199999999999978</v>
      </c>
      <c r="H43" s="33">
        <f t="shared" si="9"/>
        <v>28.399999999999974</v>
      </c>
      <c r="I43" s="33">
        <f t="shared" si="9"/>
        <v>23.999999999999979</v>
      </c>
      <c r="J43" s="33">
        <f t="shared" si="9"/>
        <v>23.999999999999989</v>
      </c>
      <c r="K43" s="33">
        <v>17.899999999999999</v>
      </c>
      <c r="L43" s="33">
        <f t="shared" si="9"/>
        <v>18.5</v>
      </c>
      <c r="M43" s="33">
        <f t="shared" si="9"/>
        <v>14.7</v>
      </c>
      <c r="N43" s="33">
        <f t="shared" si="9"/>
        <v>15.699999999999996</v>
      </c>
      <c r="O43" s="33">
        <f t="shared" si="9"/>
        <v>15.599999999999984</v>
      </c>
      <c r="P43" s="33">
        <f t="shared" si="9"/>
        <v>15.899999999999984</v>
      </c>
      <c r="Q43" s="33">
        <f t="shared" si="9"/>
        <v>15.099999999999987</v>
      </c>
      <c r="R43" s="33">
        <f t="shared" si="9"/>
        <v>16.499999999999986</v>
      </c>
      <c r="S43" s="33">
        <f t="shared" si="9"/>
        <v>30.699999999999989</v>
      </c>
      <c r="T43" s="33">
        <f t="shared" si="9"/>
        <v>30.699999999999971</v>
      </c>
      <c r="U43" s="33">
        <f t="shared" si="9"/>
        <v>43.509999999999984</v>
      </c>
      <c r="V43" s="33">
        <f t="shared" si="9"/>
        <v>43.509999999999984</v>
      </c>
      <c r="W43" s="33">
        <f t="shared" si="9"/>
        <v>43.509999999999984</v>
      </c>
      <c r="X43" s="33">
        <f t="shared" si="9"/>
        <v>43.509999999999984</v>
      </c>
      <c r="Y43" s="33">
        <f t="shared" si="9"/>
        <v>43.509999999999962</v>
      </c>
      <c r="Z43" s="33">
        <f t="shared" si="9"/>
        <v>43.509999999999962</v>
      </c>
      <c r="AA43" s="33">
        <f t="shared" si="9"/>
        <v>43.509999999999962</v>
      </c>
      <c r="AB43" s="33">
        <f t="shared" si="9"/>
        <v>43.509999999999962</v>
      </c>
      <c r="AC43" s="33">
        <f t="shared" si="9"/>
        <v>43.509999999999962</v>
      </c>
      <c r="AD43" s="33">
        <f t="shared" si="9"/>
        <v>43.509999999999962</v>
      </c>
    </row>
    <row r="44" spans="3:30" x14ac:dyDescent="0.2">
      <c r="D44" s="37"/>
      <c r="E44" s="37"/>
      <c r="F44" s="37"/>
      <c r="G44" s="37"/>
      <c r="H44" s="37"/>
      <c r="I44" s="37"/>
      <c r="J44" s="37"/>
      <c r="K44" s="37"/>
      <c r="L44" s="37"/>
      <c r="M44" s="37"/>
      <c r="N44" s="37"/>
      <c r="O44" s="37"/>
      <c r="P44" s="37"/>
      <c r="Q44" s="37"/>
      <c r="R44" s="37"/>
    </row>
    <row r="45" spans="3:30" x14ac:dyDescent="0.2">
      <c r="C45" s="30" t="s">
        <v>145</v>
      </c>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row>
    <row r="46" spans="3:30" x14ac:dyDescent="0.2">
      <c r="C46" s="17" t="s">
        <v>779</v>
      </c>
      <c r="D46" s="36">
        <v>188.8</v>
      </c>
      <c r="E46" s="36">
        <v>372.3</v>
      </c>
      <c r="F46" s="36">
        <v>369.4</v>
      </c>
      <c r="G46" s="36">
        <v>366.5</v>
      </c>
      <c r="H46" s="36">
        <v>363.5</v>
      </c>
      <c r="I46" s="36">
        <v>360.6</v>
      </c>
      <c r="J46" s="36">
        <v>360.6</v>
      </c>
      <c r="K46" s="36">
        <v>357.7</v>
      </c>
      <c r="L46" s="36">
        <v>354.8</v>
      </c>
      <c r="M46" s="36">
        <v>351.9</v>
      </c>
      <c r="N46" s="36">
        <v>349</v>
      </c>
      <c r="O46" s="36">
        <v>349</v>
      </c>
      <c r="P46" s="36">
        <v>346.1</v>
      </c>
      <c r="Q46" s="36">
        <v>343.1</v>
      </c>
      <c r="R46" s="36">
        <v>340.2</v>
      </c>
      <c r="S46" s="36">
        <v>337.4</v>
      </c>
      <c r="T46" s="36">
        <v>337.4</v>
      </c>
      <c r="U46" s="40">
        <f>+T46+U14-U31</f>
        <v>207.09999999999997</v>
      </c>
      <c r="V46" s="40">
        <f>+U46+V14-V31</f>
        <v>204.99999999999997</v>
      </c>
      <c r="W46" s="40">
        <f>+V46+W14-W31</f>
        <v>202.89999999999998</v>
      </c>
      <c r="X46" s="40">
        <f>+W46+X14-X31</f>
        <v>200.79999999999998</v>
      </c>
      <c r="Y46" s="40">
        <f>+X46</f>
        <v>200.79999999999998</v>
      </c>
      <c r="Z46" s="40">
        <f>+Y46+Z14-Z31</f>
        <v>198.7</v>
      </c>
      <c r="AA46" s="40">
        <f>+Z46+AA14-AA31</f>
        <v>196.6</v>
      </c>
      <c r="AB46" s="40">
        <f>+AA46+AB14-AB31</f>
        <v>194.5</v>
      </c>
      <c r="AC46" s="40">
        <f>+AB46+AC14-AC31</f>
        <v>192.4</v>
      </c>
      <c r="AD46" s="40">
        <f>+AC46</f>
        <v>192.4</v>
      </c>
    </row>
    <row r="47" spans="3:30" x14ac:dyDescent="0.2">
      <c r="C47" s="17" t="s">
        <v>586</v>
      </c>
      <c r="D47" s="36">
        <v>69.5</v>
      </c>
      <c r="E47" s="36">
        <v>0</v>
      </c>
      <c r="F47" s="36">
        <v>0</v>
      </c>
      <c r="G47" s="36">
        <v>0</v>
      </c>
      <c r="H47" s="36">
        <v>0</v>
      </c>
      <c r="I47" s="36">
        <v>0</v>
      </c>
      <c r="J47" s="36">
        <v>0</v>
      </c>
      <c r="K47" s="36">
        <v>0</v>
      </c>
      <c r="L47" s="36">
        <v>0</v>
      </c>
      <c r="M47" s="36">
        <v>0</v>
      </c>
      <c r="N47" s="36">
        <v>0</v>
      </c>
      <c r="O47" s="36">
        <v>0</v>
      </c>
      <c r="P47" s="36">
        <v>0</v>
      </c>
      <c r="Q47" s="36">
        <v>0</v>
      </c>
      <c r="R47" s="36">
        <v>0</v>
      </c>
      <c r="S47" s="36">
        <v>0</v>
      </c>
      <c r="T47" s="36">
        <v>0</v>
      </c>
      <c r="U47" s="40">
        <v>0</v>
      </c>
      <c r="V47" s="40">
        <v>0</v>
      </c>
      <c r="W47" s="40">
        <v>0</v>
      </c>
      <c r="X47" s="40">
        <v>0</v>
      </c>
      <c r="Y47" s="40">
        <f>+X47</f>
        <v>0</v>
      </c>
      <c r="Z47" s="40">
        <v>0</v>
      </c>
      <c r="AA47" s="40">
        <v>0</v>
      </c>
      <c r="AB47" s="40">
        <v>0</v>
      </c>
      <c r="AC47" s="40">
        <v>0</v>
      </c>
      <c r="AD47" s="40">
        <f>+AC47</f>
        <v>0</v>
      </c>
    </row>
    <row r="48" spans="3:30" x14ac:dyDescent="0.2">
      <c r="C48" s="17" t="s">
        <v>780</v>
      </c>
      <c r="D48" s="36">
        <v>1.9</v>
      </c>
      <c r="E48" s="36">
        <v>0.2</v>
      </c>
      <c r="F48" s="36">
        <v>0.6</v>
      </c>
      <c r="G48" s="36">
        <v>0.4</v>
      </c>
      <c r="H48" s="36">
        <v>0.4</v>
      </c>
      <c r="I48" s="36">
        <v>1.8</v>
      </c>
      <c r="J48" s="36">
        <v>1.8</v>
      </c>
      <c r="K48" s="36">
        <v>4.9000000000000004</v>
      </c>
      <c r="L48" s="36">
        <v>4.0999999999999996</v>
      </c>
      <c r="M48" s="36">
        <v>4.5999999999999996</v>
      </c>
      <c r="N48" s="36">
        <v>3.4</v>
      </c>
      <c r="O48" s="36">
        <v>3.4</v>
      </c>
      <c r="P48" s="36">
        <v>2</v>
      </c>
      <c r="Q48" s="36">
        <v>1.1000000000000001</v>
      </c>
      <c r="R48" s="36">
        <v>0</v>
      </c>
      <c r="S48" s="36">
        <v>0</v>
      </c>
      <c r="T48" s="36">
        <v>0</v>
      </c>
      <c r="U48" s="40">
        <v>0</v>
      </c>
      <c r="V48" s="40">
        <v>0</v>
      </c>
      <c r="W48" s="40">
        <v>0</v>
      </c>
      <c r="X48" s="40">
        <v>0</v>
      </c>
      <c r="Y48" s="40">
        <f>+X48</f>
        <v>0</v>
      </c>
      <c r="Z48" s="40">
        <v>0</v>
      </c>
      <c r="AA48" s="40">
        <v>0</v>
      </c>
      <c r="AB48" s="40">
        <v>0</v>
      </c>
      <c r="AC48" s="40">
        <v>0</v>
      </c>
      <c r="AD48" s="40">
        <f>+AC48</f>
        <v>0</v>
      </c>
    </row>
    <row r="49" spans="3:30" x14ac:dyDescent="0.2">
      <c r="C49" s="32" t="s">
        <v>156</v>
      </c>
      <c r="D49" s="33">
        <f t="shared" ref="D49:AD49" si="10">+SUM(D46:D48)</f>
        <v>260.2</v>
      </c>
      <c r="E49" s="33">
        <f t="shared" si="10"/>
        <v>372.5</v>
      </c>
      <c r="F49" s="33">
        <f t="shared" si="10"/>
        <v>370</v>
      </c>
      <c r="G49" s="33">
        <f t="shared" si="10"/>
        <v>366.9</v>
      </c>
      <c r="H49" s="33">
        <f t="shared" si="10"/>
        <v>363.9</v>
      </c>
      <c r="I49" s="33">
        <f t="shared" si="10"/>
        <v>362.40000000000003</v>
      </c>
      <c r="J49" s="33">
        <f t="shared" si="10"/>
        <v>362.40000000000003</v>
      </c>
      <c r="K49" s="33">
        <f t="shared" si="10"/>
        <v>362.59999999999997</v>
      </c>
      <c r="L49" s="33">
        <f t="shared" si="10"/>
        <v>358.90000000000003</v>
      </c>
      <c r="M49" s="33">
        <f t="shared" si="10"/>
        <v>356.5</v>
      </c>
      <c r="N49" s="33">
        <f t="shared" si="10"/>
        <v>352.4</v>
      </c>
      <c r="O49" s="33">
        <f t="shared" si="10"/>
        <v>352.4</v>
      </c>
      <c r="P49" s="33">
        <f t="shared" si="10"/>
        <v>348.1</v>
      </c>
      <c r="Q49" s="33">
        <f t="shared" si="10"/>
        <v>344.20000000000005</v>
      </c>
      <c r="R49" s="33">
        <f t="shared" si="10"/>
        <v>340.2</v>
      </c>
      <c r="S49" s="33">
        <f t="shared" si="10"/>
        <v>337.4</v>
      </c>
      <c r="T49" s="33">
        <f t="shared" si="10"/>
        <v>337.4</v>
      </c>
      <c r="U49" s="33">
        <f t="shared" si="10"/>
        <v>207.09999999999997</v>
      </c>
      <c r="V49" s="33">
        <f t="shared" si="10"/>
        <v>204.99999999999997</v>
      </c>
      <c r="W49" s="33">
        <f t="shared" si="10"/>
        <v>202.89999999999998</v>
      </c>
      <c r="X49" s="33">
        <f t="shared" si="10"/>
        <v>200.79999999999998</v>
      </c>
      <c r="Y49" s="33">
        <f t="shared" si="10"/>
        <v>200.79999999999998</v>
      </c>
      <c r="Z49" s="33">
        <f t="shared" si="10"/>
        <v>198.7</v>
      </c>
      <c r="AA49" s="33">
        <f t="shared" si="10"/>
        <v>196.6</v>
      </c>
      <c r="AB49" s="33">
        <f t="shared" si="10"/>
        <v>194.5</v>
      </c>
      <c r="AC49" s="33">
        <f t="shared" si="10"/>
        <v>192.4</v>
      </c>
      <c r="AD49" s="33">
        <f t="shared" si="10"/>
        <v>192.4</v>
      </c>
    </row>
    <row r="50" spans="3:30" ht="5.0999999999999996" customHeight="1" x14ac:dyDescent="0.2">
      <c r="D50" s="37"/>
      <c r="E50" s="37"/>
      <c r="F50" s="37"/>
      <c r="G50" s="37"/>
      <c r="H50" s="37"/>
      <c r="I50" s="37"/>
      <c r="J50" s="37"/>
      <c r="K50" s="37"/>
      <c r="L50" s="37"/>
      <c r="M50" s="37"/>
      <c r="N50" s="37"/>
      <c r="O50" s="37"/>
      <c r="P50" s="37"/>
      <c r="Q50" s="37"/>
      <c r="R50" s="37"/>
      <c r="S50" s="37"/>
      <c r="T50" s="37"/>
    </row>
    <row r="51" spans="3:30" x14ac:dyDescent="0.2">
      <c r="C51" s="17" t="s">
        <v>577</v>
      </c>
      <c r="D51" s="36">
        <v>20.100000000000001</v>
      </c>
      <c r="E51" s="36">
        <v>19.899999999999999</v>
      </c>
      <c r="F51" s="36">
        <v>20.2</v>
      </c>
      <c r="G51" s="36">
        <v>22.2</v>
      </c>
      <c r="H51" s="36">
        <v>28.4</v>
      </c>
      <c r="I51" s="36">
        <v>24</v>
      </c>
      <c r="J51" s="36">
        <v>24</v>
      </c>
      <c r="K51" s="36">
        <v>17.8</v>
      </c>
      <c r="L51" s="36">
        <v>18.399999999999999</v>
      </c>
      <c r="M51" s="36">
        <v>14.6</v>
      </c>
      <c r="N51" s="36">
        <v>15.5</v>
      </c>
      <c r="O51" s="36">
        <v>15.5</v>
      </c>
      <c r="P51" s="36">
        <v>15.9</v>
      </c>
      <c r="Q51" s="36">
        <v>15.1</v>
      </c>
      <c r="R51" s="36">
        <v>16.5</v>
      </c>
      <c r="S51" s="36">
        <v>30.7</v>
      </c>
      <c r="T51" s="36">
        <v>30.7</v>
      </c>
      <c r="U51" s="40">
        <f>+T51+T52+U40</f>
        <v>43.610000000000014</v>
      </c>
      <c r="V51" s="40">
        <f>+U51+U52+V40</f>
        <v>43.610000000000014</v>
      </c>
      <c r="W51" s="40">
        <f>+V51+V52+W40</f>
        <v>43.610000000000014</v>
      </c>
      <c r="X51" s="40">
        <f>+W51+W52+X40</f>
        <v>43.610000000000014</v>
      </c>
      <c r="Y51" s="40">
        <f>+X51</f>
        <v>43.610000000000014</v>
      </c>
      <c r="Z51" s="40">
        <f>+Y51+Y52+Z40</f>
        <v>43.610000000000014</v>
      </c>
      <c r="AA51" s="40">
        <f>+Z51+Z52+AA40</f>
        <v>43.610000000000014</v>
      </c>
      <c r="AB51" s="40">
        <f>+AA51+AA52+AB40</f>
        <v>43.610000000000014</v>
      </c>
      <c r="AC51" s="40">
        <f>+AB51+AB52+AC40</f>
        <v>43.610000000000014</v>
      </c>
      <c r="AD51" s="40">
        <f>+AC51</f>
        <v>43.610000000000014</v>
      </c>
    </row>
    <row r="52" spans="3:30" x14ac:dyDescent="0.2">
      <c r="C52" s="17" t="s">
        <v>257</v>
      </c>
      <c r="D52" s="36">
        <v>0.1</v>
      </c>
      <c r="E52" s="36">
        <v>0.1</v>
      </c>
      <c r="F52" s="36">
        <v>0.2</v>
      </c>
      <c r="G52" s="36">
        <v>0.1</v>
      </c>
      <c r="H52" s="36">
        <v>0.1</v>
      </c>
      <c r="I52" s="36">
        <v>0.1</v>
      </c>
      <c r="J52" s="36">
        <v>0.1</v>
      </c>
      <c r="K52" s="36">
        <v>0.1</v>
      </c>
      <c r="L52" s="36">
        <v>0.1</v>
      </c>
      <c r="M52" s="36">
        <v>0.1</v>
      </c>
      <c r="N52" s="36">
        <v>0.2</v>
      </c>
      <c r="O52" s="36">
        <v>0.2</v>
      </c>
      <c r="P52" s="36">
        <v>0.1</v>
      </c>
      <c r="Q52" s="36">
        <v>0.1</v>
      </c>
      <c r="R52" s="36">
        <v>0.1</v>
      </c>
      <c r="S52" s="36">
        <v>0.1</v>
      </c>
      <c r="T52" s="36">
        <v>0.1</v>
      </c>
      <c r="U52" s="40">
        <v>0</v>
      </c>
      <c r="V52" s="40">
        <v>0</v>
      </c>
      <c r="W52" s="40">
        <v>0</v>
      </c>
      <c r="X52" s="40">
        <v>0</v>
      </c>
      <c r="Y52" s="40">
        <f>+X52</f>
        <v>0</v>
      </c>
      <c r="Z52" s="40">
        <v>0</v>
      </c>
      <c r="AA52" s="40">
        <v>0</v>
      </c>
      <c r="AB52" s="40">
        <v>0</v>
      </c>
      <c r="AC52" s="40">
        <v>0</v>
      </c>
      <c r="AD52" s="40">
        <f>+AC52</f>
        <v>0</v>
      </c>
    </row>
    <row r="53" spans="3:30" x14ac:dyDescent="0.2">
      <c r="C53" s="17" t="s">
        <v>579</v>
      </c>
      <c r="D53" s="36">
        <v>0.9</v>
      </c>
      <c r="E53" s="36">
        <v>0.6</v>
      </c>
      <c r="F53" s="36">
        <v>1.3</v>
      </c>
      <c r="G53" s="36">
        <v>2.4</v>
      </c>
      <c r="H53" s="36">
        <v>0.3</v>
      </c>
      <c r="I53" s="36">
        <v>0.9</v>
      </c>
      <c r="J53" s="36">
        <v>0.9</v>
      </c>
      <c r="K53" s="36">
        <v>0.6</v>
      </c>
      <c r="L53" s="36">
        <v>1.3</v>
      </c>
      <c r="M53" s="36">
        <v>1.6</v>
      </c>
      <c r="N53" s="36">
        <v>2.2000000000000002</v>
      </c>
      <c r="O53" s="36">
        <v>2.2000000000000002</v>
      </c>
      <c r="P53" s="36">
        <v>0.8</v>
      </c>
      <c r="Q53" s="36">
        <v>0.9</v>
      </c>
      <c r="R53" s="36">
        <v>1.2</v>
      </c>
      <c r="S53" s="36">
        <v>0.9</v>
      </c>
      <c r="T53" s="36">
        <v>0.9</v>
      </c>
      <c r="U53" s="130">
        <f>+$T53</f>
        <v>0.9</v>
      </c>
      <c r="V53" s="130">
        <f t="shared" ref="V53:X55" si="11">+$T53</f>
        <v>0.9</v>
      </c>
      <c r="W53" s="130">
        <f t="shared" si="11"/>
        <v>0.9</v>
      </c>
      <c r="X53" s="130">
        <f t="shared" si="11"/>
        <v>0.9</v>
      </c>
      <c r="Y53" s="40">
        <f>+X53</f>
        <v>0.9</v>
      </c>
      <c r="Z53" s="130">
        <f t="shared" ref="Z53:AC55" si="12">+$T53</f>
        <v>0.9</v>
      </c>
      <c r="AA53" s="130">
        <f t="shared" si="12"/>
        <v>0.9</v>
      </c>
      <c r="AB53" s="130">
        <f t="shared" si="12"/>
        <v>0.9</v>
      </c>
      <c r="AC53" s="130">
        <f t="shared" si="12"/>
        <v>0.9</v>
      </c>
      <c r="AD53" s="40">
        <f>+AC53</f>
        <v>0.9</v>
      </c>
    </row>
    <row r="54" spans="3:30" x14ac:dyDescent="0.2">
      <c r="C54" s="17" t="s">
        <v>781</v>
      </c>
      <c r="D54" s="36">
        <v>0</v>
      </c>
      <c r="E54" s="36">
        <v>0.1</v>
      </c>
      <c r="F54" s="36">
        <v>0.2</v>
      </c>
      <c r="G54" s="36">
        <v>0.1</v>
      </c>
      <c r="H54" s="36">
        <v>0.5</v>
      </c>
      <c r="I54" s="36">
        <v>0</v>
      </c>
      <c r="J54" s="36">
        <v>0</v>
      </c>
      <c r="K54" s="36">
        <v>0</v>
      </c>
      <c r="L54" s="36">
        <v>0</v>
      </c>
      <c r="M54" s="36">
        <v>1</v>
      </c>
      <c r="N54" s="36">
        <v>0.2</v>
      </c>
      <c r="O54" s="36">
        <v>0.2</v>
      </c>
      <c r="P54" s="36">
        <v>0.2</v>
      </c>
      <c r="Q54" s="36">
        <v>0.4</v>
      </c>
      <c r="R54" s="36">
        <v>0.8</v>
      </c>
      <c r="S54" s="36">
        <v>0.2</v>
      </c>
      <c r="T54" s="36">
        <v>0.2</v>
      </c>
      <c r="U54" s="130">
        <f>+$T54</f>
        <v>0.2</v>
      </c>
      <c r="V54" s="130">
        <f t="shared" si="11"/>
        <v>0.2</v>
      </c>
      <c r="W54" s="130">
        <f t="shared" si="11"/>
        <v>0.2</v>
      </c>
      <c r="X54" s="130">
        <f t="shared" si="11"/>
        <v>0.2</v>
      </c>
      <c r="Y54" s="40">
        <f>+X54</f>
        <v>0.2</v>
      </c>
      <c r="Z54" s="130">
        <f t="shared" si="12"/>
        <v>0.2</v>
      </c>
      <c r="AA54" s="130">
        <f t="shared" si="12"/>
        <v>0.2</v>
      </c>
      <c r="AB54" s="130">
        <f t="shared" si="12"/>
        <v>0.2</v>
      </c>
      <c r="AC54" s="130">
        <f t="shared" si="12"/>
        <v>0.2</v>
      </c>
      <c r="AD54" s="40">
        <f>+AC54</f>
        <v>0.2</v>
      </c>
    </row>
    <row r="55" spans="3:30" x14ac:dyDescent="0.2">
      <c r="C55" s="17" t="s">
        <v>782</v>
      </c>
      <c r="D55" s="36">
        <v>1.8</v>
      </c>
      <c r="E55" s="36">
        <v>2.5</v>
      </c>
      <c r="F55" s="36">
        <v>3.3</v>
      </c>
      <c r="G55" s="36">
        <v>2.7</v>
      </c>
      <c r="H55" s="36">
        <v>3.4</v>
      </c>
      <c r="I55" s="36">
        <v>3.2</v>
      </c>
      <c r="J55" s="36">
        <v>3.2</v>
      </c>
      <c r="K55" s="36">
        <v>4.9000000000000004</v>
      </c>
      <c r="L55" s="36">
        <v>6.3</v>
      </c>
      <c r="M55" s="36">
        <v>7.2</v>
      </c>
      <c r="N55" s="36">
        <v>9.3000000000000007</v>
      </c>
      <c r="O55" s="36">
        <v>9.3000000000000007</v>
      </c>
      <c r="P55" s="36">
        <v>9.3000000000000007</v>
      </c>
      <c r="Q55" s="36">
        <v>10.6</v>
      </c>
      <c r="R55" s="36">
        <v>10.8</v>
      </c>
      <c r="S55" s="36">
        <v>6.8</v>
      </c>
      <c r="T55" s="36">
        <v>6.8</v>
      </c>
      <c r="U55" s="130">
        <f>+$T55</f>
        <v>6.8</v>
      </c>
      <c r="V55" s="130">
        <f t="shared" si="11"/>
        <v>6.8</v>
      </c>
      <c r="W55" s="130">
        <f t="shared" si="11"/>
        <v>6.8</v>
      </c>
      <c r="X55" s="130">
        <f t="shared" si="11"/>
        <v>6.8</v>
      </c>
      <c r="Y55" s="40">
        <f>+X55</f>
        <v>6.8</v>
      </c>
      <c r="Z55" s="130">
        <f t="shared" si="12"/>
        <v>6.8</v>
      </c>
      <c r="AA55" s="130">
        <f t="shared" si="12"/>
        <v>6.8</v>
      </c>
      <c r="AB55" s="130">
        <f t="shared" si="12"/>
        <v>6.8</v>
      </c>
      <c r="AC55" s="130">
        <f t="shared" si="12"/>
        <v>6.8</v>
      </c>
      <c r="AD55" s="40">
        <f>+AC55</f>
        <v>6.8</v>
      </c>
    </row>
    <row r="56" spans="3:30" x14ac:dyDescent="0.2">
      <c r="C56" s="32" t="s">
        <v>155</v>
      </c>
      <c r="D56" s="33">
        <f t="shared" ref="D56:AD56" si="13">SUM(D51:D55)</f>
        <v>22.900000000000002</v>
      </c>
      <c r="E56" s="33">
        <f t="shared" si="13"/>
        <v>23.200000000000003</v>
      </c>
      <c r="F56" s="33">
        <f t="shared" si="13"/>
        <v>25.2</v>
      </c>
      <c r="G56" s="33">
        <f t="shared" si="13"/>
        <v>27.5</v>
      </c>
      <c r="H56" s="33">
        <f t="shared" si="13"/>
        <v>32.700000000000003</v>
      </c>
      <c r="I56" s="33">
        <f t="shared" si="13"/>
        <v>28.2</v>
      </c>
      <c r="J56" s="33">
        <f t="shared" si="13"/>
        <v>28.2</v>
      </c>
      <c r="K56" s="33">
        <f t="shared" si="13"/>
        <v>23.400000000000006</v>
      </c>
      <c r="L56" s="33">
        <f t="shared" si="13"/>
        <v>26.1</v>
      </c>
      <c r="M56" s="33">
        <f t="shared" si="13"/>
        <v>24.5</v>
      </c>
      <c r="N56" s="33">
        <f t="shared" si="13"/>
        <v>27.4</v>
      </c>
      <c r="O56" s="33">
        <f t="shared" si="13"/>
        <v>27.4</v>
      </c>
      <c r="P56" s="33">
        <f t="shared" si="13"/>
        <v>26.3</v>
      </c>
      <c r="Q56" s="33">
        <f t="shared" si="13"/>
        <v>27.099999999999994</v>
      </c>
      <c r="R56" s="33">
        <f t="shared" si="13"/>
        <v>29.400000000000002</v>
      </c>
      <c r="S56" s="33">
        <f t="shared" si="13"/>
        <v>38.699999999999996</v>
      </c>
      <c r="T56" s="33">
        <f t="shared" si="13"/>
        <v>38.699999999999996</v>
      </c>
      <c r="U56" s="33">
        <f t="shared" si="13"/>
        <v>51.510000000000012</v>
      </c>
      <c r="V56" s="33">
        <f t="shared" si="13"/>
        <v>51.510000000000012</v>
      </c>
      <c r="W56" s="33">
        <f t="shared" si="13"/>
        <v>51.510000000000012</v>
      </c>
      <c r="X56" s="33">
        <f t="shared" si="13"/>
        <v>51.510000000000012</v>
      </c>
      <c r="Y56" s="33">
        <f t="shared" si="13"/>
        <v>51.510000000000012</v>
      </c>
      <c r="Z56" s="33">
        <f t="shared" si="13"/>
        <v>51.510000000000012</v>
      </c>
      <c r="AA56" s="33">
        <f t="shared" si="13"/>
        <v>51.510000000000012</v>
      </c>
      <c r="AB56" s="33">
        <f t="shared" si="13"/>
        <v>51.510000000000012</v>
      </c>
      <c r="AC56" s="33">
        <f t="shared" si="13"/>
        <v>51.510000000000012</v>
      </c>
      <c r="AD56" s="33">
        <f t="shared" si="13"/>
        <v>51.510000000000012</v>
      </c>
    </row>
    <row r="57" spans="3:30" ht="5.0999999999999996" customHeight="1" x14ac:dyDescent="0.2">
      <c r="D57" s="37"/>
      <c r="E57" s="37"/>
      <c r="F57" s="37"/>
      <c r="G57" s="37"/>
      <c r="H57" s="37"/>
      <c r="I57" s="37"/>
      <c r="J57" s="37"/>
      <c r="K57" s="37"/>
      <c r="L57" s="37"/>
      <c r="M57" s="37"/>
      <c r="N57" s="37"/>
      <c r="O57" s="37"/>
      <c r="P57" s="37"/>
      <c r="Q57" s="37"/>
      <c r="R57" s="37"/>
      <c r="S57" s="37"/>
      <c r="T57" s="37"/>
    </row>
    <row r="58" spans="3:30" x14ac:dyDescent="0.2">
      <c r="C58" s="17" t="s">
        <v>273</v>
      </c>
      <c r="D58" s="34">
        <v>132</v>
      </c>
      <c r="E58" s="34">
        <v>231.2</v>
      </c>
      <c r="F58" s="34">
        <v>227.7</v>
      </c>
      <c r="G58" s="34">
        <v>224.3</v>
      </c>
      <c r="H58" s="34">
        <v>220.8</v>
      </c>
      <c r="I58" s="34">
        <v>217.9</v>
      </c>
      <c r="J58" s="34">
        <v>217.9</v>
      </c>
      <c r="K58" s="34">
        <v>213.7</v>
      </c>
      <c r="L58" s="34">
        <v>210.2</v>
      </c>
      <c r="M58" s="34">
        <v>206.7</v>
      </c>
      <c r="N58" s="34">
        <v>203.2</v>
      </c>
      <c r="O58" s="34">
        <v>203.2</v>
      </c>
      <c r="P58" s="34">
        <v>199.7</v>
      </c>
      <c r="Q58" s="34">
        <v>196.1</v>
      </c>
      <c r="R58" s="34">
        <v>192.6</v>
      </c>
      <c r="S58" s="34">
        <v>189.1</v>
      </c>
      <c r="T58" s="34">
        <v>189.1</v>
      </c>
      <c r="U58" s="40">
        <f>+T58+T62+U35</f>
        <v>120.47142370000002</v>
      </c>
      <c r="V58" s="40">
        <f>+U58+U62+V35</f>
        <v>117.69642370000001</v>
      </c>
      <c r="W58" s="40">
        <f>+V58+V62+W35</f>
        <v>114.92142370000001</v>
      </c>
      <c r="X58" s="40">
        <f>+W58+W62+X35</f>
        <v>112.1464237</v>
      </c>
      <c r="Y58" s="40">
        <f>+X58</f>
        <v>112.1464237</v>
      </c>
      <c r="Z58" s="40">
        <f>+Y58+Y62+Z35</f>
        <v>109.37142369999999</v>
      </c>
      <c r="AA58" s="40">
        <f>+Z58+Z62+AA35</f>
        <v>106.59642369999999</v>
      </c>
      <c r="AB58" s="40">
        <f>+AA58+AA62+AB35</f>
        <v>103.82142369999998</v>
      </c>
      <c r="AC58" s="40">
        <f>+AB58+AB62+AC35</f>
        <v>101.04642369999998</v>
      </c>
      <c r="AD58" s="40">
        <f>+AC58</f>
        <v>101.04642369999998</v>
      </c>
    </row>
    <row r="59" spans="3:30" x14ac:dyDescent="0.2">
      <c r="C59" s="17" t="s">
        <v>784</v>
      </c>
      <c r="D59" s="34">
        <v>0.2</v>
      </c>
      <c r="E59" s="34">
        <v>1.4</v>
      </c>
      <c r="F59" s="34">
        <v>0.4</v>
      </c>
      <c r="G59" s="34">
        <v>0.5</v>
      </c>
      <c r="H59" s="34">
        <v>0.4</v>
      </c>
      <c r="I59" s="34">
        <v>0.4</v>
      </c>
      <c r="J59" s="34">
        <v>0.4</v>
      </c>
      <c r="K59" s="34">
        <v>0.2</v>
      </c>
      <c r="L59" s="34">
        <v>0.1</v>
      </c>
      <c r="M59" s="34">
        <v>0.1</v>
      </c>
      <c r="N59" s="34">
        <v>0.1</v>
      </c>
      <c r="O59" s="34">
        <v>0.1</v>
      </c>
      <c r="P59" s="34">
        <v>0.1</v>
      </c>
      <c r="Q59" s="34">
        <v>0.1</v>
      </c>
      <c r="R59" s="34">
        <v>0.1</v>
      </c>
      <c r="S59" s="34">
        <v>0</v>
      </c>
      <c r="T59" s="34">
        <v>0</v>
      </c>
      <c r="U59" s="40">
        <v>0</v>
      </c>
      <c r="V59" s="40">
        <v>0</v>
      </c>
      <c r="W59" s="40">
        <v>0</v>
      </c>
      <c r="X59" s="40">
        <v>0</v>
      </c>
      <c r="Y59" s="40">
        <f>+X59</f>
        <v>0</v>
      </c>
      <c r="Z59" s="40">
        <v>0</v>
      </c>
      <c r="AA59" s="40">
        <v>0</v>
      </c>
      <c r="AB59" s="40">
        <v>0</v>
      </c>
      <c r="AC59" s="40">
        <v>0</v>
      </c>
      <c r="AD59" s="40">
        <f>+AC59</f>
        <v>0</v>
      </c>
    </row>
    <row r="60" spans="3:30" x14ac:dyDescent="0.2">
      <c r="C60" s="32" t="s">
        <v>160</v>
      </c>
      <c r="D60" s="33">
        <f t="shared" ref="D60:AD60" si="14">SUM(D58:D59)</f>
        <v>132.19999999999999</v>
      </c>
      <c r="E60" s="33">
        <f t="shared" si="14"/>
        <v>232.6</v>
      </c>
      <c r="F60" s="33">
        <f t="shared" si="14"/>
        <v>228.1</v>
      </c>
      <c r="G60" s="33">
        <f t="shared" si="14"/>
        <v>224.8</v>
      </c>
      <c r="H60" s="33">
        <f t="shared" si="14"/>
        <v>221.20000000000002</v>
      </c>
      <c r="I60" s="33">
        <f t="shared" si="14"/>
        <v>218.3</v>
      </c>
      <c r="J60" s="33">
        <f t="shared" si="14"/>
        <v>218.3</v>
      </c>
      <c r="K60" s="33">
        <f t="shared" si="14"/>
        <v>213.89999999999998</v>
      </c>
      <c r="L60" s="33">
        <f t="shared" si="14"/>
        <v>210.29999999999998</v>
      </c>
      <c r="M60" s="33">
        <f t="shared" si="14"/>
        <v>206.79999999999998</v>
      </c>
      <c r="N60" s="33">
        <f t="shared" si="14"/>
        <v>203.29999999999998</v>
      </c>
      <c r="O60" s="33">
        <f t="shared" si="14"/>
        <v>203.29999999999998</v>
      </c>
      <c r="P60" s="33">
        <f t="shared" si="14"/>
        <v>199.79999999999998</v>
      </c>
      <c r="Q60" s="33">
        <f t="shared" si="14"/>
        <v>196.2</v>
      </c>
      <c r="R60" s="33">
        <f t="shared" si="14"/>
        <v>192.7</v>
      </c>
      <c r="S60" s="33">
        <f t="shared" si="14"/>
        <v>189.1</v>
      </c>
      <c r="T60" s="33">
        <f t="shared" si="14"/>
        <v>189.1</v>
      </c>
      <c r="U60" s="33">
        <f t="shared" si="14"/>
        <v>120.47142370000002</v>
      </c>
      <c r="V60" s="33">
        <f t="shared" si="14"/>
        <v>117.69642370000001</v>
      </c>
      <c r="W60" s="33">
        <f t="shared" si="14"/>
        <v>114.92142370000001</v>
      </c>
      <c r="X60" s="33">
        <f t="shared" si="14"/>
        <v>112.1464237</v>
      </c>
      <c r="Y60" s="33">
        <f t="shared" si="14"/>
        <v>112.1464237</v>
      </c>
      <c r="Z60" s="33">
        <f t="shared" si="14"/>
        <v>109.37142369999999</v>
      </c>
      <c r="AA60" s="33">
        <f t="shared" si="14"/>
        <v>106.59642369999999</v>
      </c>
      <c r="AB60" s="33">
        <f t="shared" si="14"/>
        <v>103.82142369999998</v>
      </c>
      <c r="AC60" s="33">
        <f t="shared" si="14"/>
        <v>101.04642369999998</v>
      </c>
      <c r="AD60" s="33">
        <f t="shared" si="14"/>
        <v>101.04642369999998</v>
      </c>
    </row>
    <row r="61" spans="3:30" ht="5.0999999999999996" customHeight="1" x14ac:dyDescent="0.2">
      <c r="D61" s="37"/>
      <c r="E61" s="37"/>
      <c r="F61" s="37"/>
      <c r="G61" s="37"/>
      <c r="H61" s="37"/>
      <c r="I61" s="37"/>
      <c r="J61" s="37"/>
      <c r="K61" s="37"/>
      <c r="L61" s="37"/>
      <c r="M61" s="37"/>
      <c r="N61" s="37"/>
      <c r="O61" s="37"/>
      <c r="P61" s="37"/>
      <c r="Q61" s="37"/>
      <c r="R61" s="37"/>
      <c r="S61" s="37"/>
      <c r="T61" s="37"/>
    </row>
    <row r="62" spans="3:30" x14ac:dyDescent="0.2">
      <c r="C62" s="17" t="s">
        <v>592</v>
      </c>
      <c r="D62" s="34">
        <v>8.1</v>
      </c>
      <c r="E62" s="34">
        <v>14.8</v>
      </c>
      <c r="F62" s="34">
        <v>14.8</v>
      </c>
      <c r="G62" s="34">
        <v>14.8</v>
      </c>
      <c r="H62" s="34">
        <v>14.8</v>
      </c>
      <c r="I62" s="34">
        <v>14.8</v>
      </c>
      <c r="J62" s="34">
        <v>14.8</v>
      </c>
      <c r="K62" s="34">
        <v>14.8</v>
      </c>
      <c r="L62" s="34">
        <v>14.8</v>
      </c>
      <c r="M62" s="34">
        <v>14.8</v>
      </c>
      <c r="N62" s="34">
        <v>14.8</v>
      </c>
      <c r="O62" s="34">
        <v>14.8</v>
      </c>
      <c r="P62" s="34">
        <v>14.8</v>
      </c>
      <c r="Q62" s="34">
        <v>14.8</v>
      </c>
      <c r="R62" s="34">
        <v>14.8</v>
      </c>
      <c r="S62" s="34">
        <v>14.8</v>
      </c>
      <c r="T62" s="34">
        <v>14.8</v>
      </c>
      <c r="U62" s="40">
        <v>0</v>
      </c>
      <c r="V62" s="40">
        <v>0</v>
      </c>
      <c r="W62" s="40">
        <v>0</v>
      </c>
      <c r="X62" s="40">
        <v>0</v>
      </c>
      <c r="Y62" s="40">
        <f>+X62</f>
        <v>0</v>
      </c>
      <c r="Z62" s="40">
        <v>0</v>
      </c>
      <c r="AA62" s="40">
        <v>0</v>
      </c>
      <c r="AB62" s="40">
        <v>0</v>
      </c>
      <c r="AC62" s="40">
        <v>0</v>
      </c>
      <c r="AD62" s="40">
        <f>+AC62</f>
        <v>0</v>
      </c>
    </row>
    <row r="63" spans="3:30" x14ac:dyDescent="0.2">
      <c r="C63" s="17" t="s">
        <v>276</v>
      </c>
      <c r="D63" s="34">
        <v>0.7</v>
      </c>
      <c r="E63" s="34">
        <v>0.6</v>
      </c>
      <c r="F63" s="34">
        <v>1</v>
      </c>
      <c r="G63" s="34">
        <v>0.7</v>
      </c>
      <c r="H63" s="34">
        <v>0.4</v>
      </c>
      <c r="I63" s="34">
        <v>0.7</v>
      </c>
      <c r="J63" s="34">
        <v>0.7</v>
      </c>
      <c r="K63" s="34">
        <v>0.9</v>
      </c>
      <c r="L63" s="34">
        <v>0.6</v>
      </c>
      <c r="M63" s="34">
        <v>0.7</v>
      </c>
      <c r="N63" s="34">
        <v>1</v>
      </c>
      <c r="O63" s="34">
        <v>1</v>
      </c>
      <c r="P63" s="34">
        <v>1</v>
      </c>
      <c r="Q63" s="34">
        <v>0.8</v>
      </c>
      <c r="R63" s="34">
        <v>0.7</v>
      </c>
      <c r="S63" s="34">
        <v>0.6</v>
      </c>
      <c r="T63" s="34">
        <v>0.6</v>
      </c>
      <c r="U63" s="130">
        <f t="shared" ref="U63:X66" si="15">+$T63</f>
        <v>0.6</v>
      </c>
      <c r="V63" s="130">
        <f t="shared" si="15"/>
        <v>0.6</v>
      </c>
      <c r="W63" s="130">
        <f t="shared" si="15"/>
        <v>0.6</v>
      </c>
      <c r="X63" s="130">
        <f t="shared" si="15"/>
        <v>0.6</v>
      </c>
      <c r="Y63" s="40">
        <f>+X63</f>
        <v>0.6</v>
      </c>
      <c r="Z63" s="130">
        <f t="shared" ref="Z63:AC66" si="16">+$T63</f>
        <v>0.6</v>
      </c>
      <c r="AA63" s="130">
        <f t="shared" si="16"/>
        <v>0.6</v>
      </c>
      <c r="AB63" s="130">
        <f t="shared" si="16"/>
        <v>0.6</v>
      </c>
      <c r="AC63" s="130">
        <f t="shared" si="16"/>
        <v>0.6</v>
      </c>
      <c r="AD63" s="40">
        <f>+AC63</f>
        <v>0.6</v>
      </c>
    </row>
    <row r="64" spans="3:30" x14ac:dyDescent="0.2">
      <c r="C64" s="17" t="s">
        <v>117</v>
      </c>
      <c r="D64" s="34">
        <v>2.7</v>
      </c>
      <c r="E64" s="34">
        <v>3</v>
      </c>
      <c r="F64" s="34">
        <v>2.6</v>
      </c>
      <c r="G64" s="34">
        <v>3.1</v>
      </c>
      <c r="H64" s="34">
        <v>3.6</v>
      </c>
      <c r="I64" s="34">
        <v>3.2</v>
      </c>
      <c r="J64" s="34">
        <v>3.2</v>
      </c>
      <c r="K64" s="34">
        <v>2.7</v>
      </c>
      <c r="L64" s="34">
        <v>2.7</v>
      </c>
      <c r="M64" s="34">
        <v>2.7</v>
      </c>
      <c r="N64" s="34">
        <v>2.9</v>
      </c>
      <c r="O64" s="34">
        <v>2.9</v>
      </c>
      <c r="P64" s="34">
        <v>2.4</v>
      </c>
      <c r="Q64" s="34">
        <v>1.9</v>
      </c>
      <c r="R64" s="34">
        <v>2.1</v>
      </c>
      <c r="S64" s="34">
        <v>3.5</v>
      </c>
      <c r="T64" s="34">
        <v>3.5</v>
      </c>
      <c r="U64" s="130">
        <f t="shared" si="15"/>
        <v>3.5</v>
      </c>
      <c r="V64" s="130">
        <f t="shared" si="15"/>
        <v>3.5</v>
      </c>
      <c r="W64" s="130">
        <f t="shared" si="15"/>
        <v>3.5</v>
      </c>
      <c r="X64" s="130">
        <f t="shared" si="15"/>
        <v>3.5</v>
      </c>
      <c r="Y64" s="40">
        <f>+X64</f>
        <v>3.5</v>
      </c>
      <c r="Z64" s="130">
        <f t="shared" si="16"/>
        <v>3.5</v>
      </c>
      <c r="AA64" s="130">
        <f t="shared" si="16"/>
        <v>3.5</v>
      </c>
      <c r="AB64" s="130">
        <f t="shared" si="16"/>
        <v>3.5</v>
      </c>
      <c r="AC64" s="130">
        <f t="shared" si="16"/>
        <v>3.5</v>
      </c>
      <c r="AD64" s="40">
        <f>+AC64</f>
        <v>3.5</v>
      </c>
    </row>
    <row r="65" spans="3:36" x14ac:dyDescent="0.2">
      <c r="C65" s="17" t="s">
        <v>783</v>
      </c>
      <c r="D65" s="34">
        <v>0</v>
      </c>
      <c r="E65" s="34">
        <v>0.9</v>
      </c>
      <c r="F65" s="34">
        <v>0.9</v>
      </c>
      <c r="G65" s="34">
        <v>0</v>
      </c>
      <c r="H65" s="34">
        <v>0</v>
      </c>
      <c r="I65" s="34">
        <v>0</v>
      </c>
      <c r="J65" s="34">
        <v>0</v>
      </c>
      <c r="K65" s="34">
        <v>0</v>
      </c>
      <c r="L65" s="34">
        <v>0</v>
      </c>
      <c r="M65" s="34">
        <v>0</v>
      </c>
      <c r="N65" s="34">
        <v>0</v>
      </c>
      <c r="O65" s="34">
        <v>0</v>
      </c>
      <c r="P65" s="34">
        <v>0</v>
      </c>
      <c r="Q65" s="34">
        <v>0</v>
      </c>
      <c r="R65" s="34">
        <v>0</v>
      </c>
      <c r="S65" s="34">
        <v>4.0999999999999996</v>
      </c>
      <c r="T65" s="34">
        <v>4.0999999999999996</v>
      </c>
      <c r="U65" s="130">
        <f t="shared" si="15"/>
        <v>4.0999999999999996</v>
      </c>
      <c r="V65" s="130">
        <f t="shared" si="15"/>
        <v>4.0999999999999996</v>
      </c>
      <c r="W65" s="130">
        <f t="shared" si="15"/>
        <v>4.0999999999999996</v>
      </c>
      <c r="X65" s="130">
        <f t="shared" si="15"/>
        <v>4.0999999999999996</v>
      </c>
      <c r="Y65" s="40">
        <f>+X65</f>
        <v>4.0999999999999996</v>
      </c>
      <c r="Z65" s="130">
        <f t="shared" si="16"/>
        <v>4.0999999999999996</v>
      </c>
      <c r="AA65" s="130">
        <f t="shared" si="16"/>
        <v>4.0999999999999996</v>
      </c>
      <c r="AB65" s="130">
        <f t="shared" si="16"/>
        <v>4.0999999999999996</v>
      </c>
      <c r="AC65" s="130">
        <f t="shared" si="16"/>
        <v>4.0999999999999996</v>
      </c>
      <c r="AD65" s="40">
        <f>+AC65</f>
        <v>4.0999999999999996</v>
      </c>
    </row>
    <row r="66" spans="3:36" x14ac:dyDescent="0.2">
      <c r="C66" s="17" t="s">
        <v>599</v>
      </c>
      <c r="D66" s="34">
        <v>1.2</v>
      </c>
      <c r="E66" s="34">
        <v>1.7</v>
      </c>
      <c r="F66" s="34">
        <v>3.3</v>
      </c>
      <c r="G66" s="34">
        <v>2.9</v>
      </c>
      <c r="H66" s="34">
        <v>4.4000000000000004</v>
      </c>
      <c r="I66" s="34">
        <v>2.6</v>
      </c>
      <c r="J66" s="34">
        <v>2.6</v>
      </c>
      <c r="K66" s="34">
        <v>2.4</v>
      </c>
      <c r="L66" s="34">
        <v>2</v>
      </c>
      <c r="M66" s="34">
        <v>1.2</v>
      </c>
      <c r="N66" s="34">
        <v>1.9</v>
      </c>
      <c r="O66" s="34">
        <v>1.9</v>
      </c>
      <c r="P66" s="34">
        <v>1.7</v>
      </c>
      <c r="Q66" s="34">
        <v>2.1</v>
      </c>
      <c r="R66" s="34">
        <v>2</v>
      </c>
      <c r="S66" s="34">
        <v>3</v>
      </c>
      <c r="T66" s="34">
        <v>3</v>
      </c>
      <c r="U66" s="130">
        <f t="shared" si="15"/>
        <v>3</v>
      </c>
      <c r="V66" s="130">
        <f t="shared" si="15"/>
        <v>3</v>
      </c>
      <c r="W66" s="130">
        <f t="shared" si="15"/>
        <v>3</v>
      </c>
      <c r="X66" s="130">
        <f t="shared" si="15"/>
        <v>3</v>
      </c>
      <c r="Y66" s="40">
        <f>+X66</f>
        <v>3</v>
      </c>
      <c r="Z66" s="130">
        <f t="shared" si="16"/>
        <v>3</v>
      </c>
      <c r="AA66" s="130">
        <f t="shared" si="16"/>
        <v>3</v>
      </c>
      <c r="AB66" s="130">
        <f t="shared" si="16"/>
        <v>3</v>
      </c>
      <c r="AC66" s="130">
        <f t="shared" si="16"/>
        <v>3</v>
      </c>
      <c r="AD66" s="40">
        <f>+AC66</f>
        <v>3</v>
      </c>
    </row>
    <row r="67" spans="3:36" x14ac:dyDescent="0.2">
      <c r="C67" s="32" t="s">
        <v>163</v>
      </c>
      <c r="D67" s="33">
        <f t="shared" ref="D67:AD67" si="17">SUM(D62:D66)</f>
        <v>12.7</v>
      </c>
      <c r="E67" s="33">
        <f t="shared" si="17"/>
        <v>20.999999999999996</v>
      </c>
      <c r="F67" s="33">
        <f t="shared" si="17"/>
        <v>22.6</v>
      </c>
      <c r="G67" s="33">
        <f t="shared" si="17"/>
        <v>21.5</v>
      </c>
      <c r="H67" s="33">
        <f t="shared" si="17"/>
        <v>23.200000000000003</v>
      </c>
      <c r="I67" s="33">
        <f t="shared" si="17"/>
        <v>21.3</v>
      </c>
      <c r="J67" s="33">
        <f t="shared" si="17"/>
        <v>21.3</v>
      </c>
      <c r="K67" s="33">
        <f t="shared" si="17"/>
        <v>20.8</v>
      </c>
      <c r="L67" s="33">
        <f t="shared" si="17"/>
        <v>20.100000000000001</v>
      </c>
      <c r="M67" s="33">
        <f t="shared" si="17"/>
        <v>19.399999999999999</v>
      </c>
      <c r="N67" s="33">
        <f t="shared" si="17"/>
        <v>20.599999999999998</v>
      </c>
      <c r="O67" s="33">
        <f t="shared" si="17"/>
        <v>20.599999999999998</v>
      </c>
      <c r="P67" s="33">
        <f t="shared" si="17"/>
        <v>19.899999999999999</v>
      </c>
      <c r="Q67" s="33">
        <f t="shared" si="17"/>
        <v>19.600000000000001</v>
      </c>
      <c r="R67" s="33">
        <f t="shared" si="17"/>
        <v>19.600000000000001</v>
      </c>
      <c r="S67" s="33">
        <f t="shared" si="17"/>
        <v>26</v>
      </c>
      <c r="T67" s="33">
        <f t="shared" si="17"/>
        <v>26</v>
      </c>
      <c r="U67" s="33">
        <f t="shared" si="17"/>
        <v>11.2</v>
      </c>
      <c r="V67" s="33">
        <f t="shared" si="17"/>
        <v>11.2</v>
      </c>
      <c r="W67" s="33">
        <f t="shared" si="17"/>
        <v>11.2</v>
      </c>
      <c r="X67" s="33">
        <f t="shared" si="17"/>
        <v>11.2</v>
      </c>
      <c r="Y67" s="33">
        <f t="shared" si="17"/>
        <v>11.2</v>
      </c>
      <c r="Z67" s="33">
        <f t="shared" si="17"/>
        <v>11.2</v>
      </c>
      <c r="AA67" s="33">
        <f t="shared" si="17"/>
        <v>11.2</v>
      </c>
      <c r="AB67" s="33">
        <f t="shared" si="17"/>
        <v>11.2</v>
      </c>
      <c r="AC67" s="33">
        <f t="shared" si="17"/>
        <v>11.2</v>
      </c>
      <c r="AD67" s="33">
        <f t="shared" si="17"/>
        <v>11.2</v>
      </c>
    </row>
    <row r="68" spans="3:36" ht="5.0999999999999996" customHeight="1" x14ac:dyDescent="0.2">
      <c r="D68" s="37"/>
      <c r="E68" s="37"/>
      <c r="F68" s="37"/>
      <c r="G68" s="37"/>
      <c r="H68" s="37"/>
      <c r="I68" s="37"/>
      <c r="J68" s="37"/>
      <c r="K68" s="37"/>
      <c r="L68" s="37"/>
      <c r="M68" s="37"/>
      <c r="N68" s="37"/>
      <c r="O68" s="37"/>
      <c r="P68" s="37"/>
      <c r="Q68" s="37"/>
      <c r="R68" s="37"/>
      <c r="S68" s="37"/>
      <c r="T68" s="37"/>
    </row>
    <row r="69" spans="3:36" x14ac:dyDescent="0.2">
      <c r="C69" s="32" t="s">
        <v>164</v>
      </c>
      <c r="D69" s="41">
        <v>138.1</v>
      </c>
      <c r="E69" s="41">
        <v>142.1</v>
      </c>
      <c r="F69" s="41">
        <v>144.5</v>
      </c>
      <c r="G69" s="41">
        <v>148.1</v>
      </c>
      <c r="H69" s="41">
        <v>152.19999999999999</v>
      </c>
      <c r="I69" s="41">
        <v>151</v>
      </c>
      <c r="J69" s="41">
        <v>151</v>
      </c>
      <c r="K69" s="41">
        <v>151.30000000000001</v>
      </c>
      <c r="L69" s="41">
        <v>154.6</v>
      </c>
      <c r="M69" s="41">
        <v>154.80000000000001</v>
      </c>
      <c r="N69" s="41">
        <v>155.9</v>
      </c>
      <c r="O69" s="41">
        <v>155.9</v>
      </c>
      <c r="P69" s="41">
        <v>154.69999999999999</v>
      </c>
      <c r="Q69" s="41">
        <v>155.5</v>
      </c>
      <c r="R69" s="41">
        <v>157.30000000000001</v>
      </c>
      <c r="S69" s="41">
        <v>161</v>
      </c>
      <c r="T69" s="41">
        <v>161</v>
      </c>
      <c r="U69" s="33">
        <f>+T69+U17+U36+U37</f>
        <v>126.93857629999999</v>
      </c>
      <c r="V69" s="33">
        <f>+U69+V17+V36+V37</f>
        <v>127.61357630000001</v>
      </c>
      <c r="W69" s="33">
        <f>+V69+W17+W36+W37</f>
        <v>128.28857629999999</v>
      </c>
      <c r="X69" s="33">
        <f>+W69+X17+X36+X37</f>
        <v>128.96357629999997</v>
      </c>
      <c r="Y69" s="33">
        <f>+X69</f>
        <v>128.96357629999997</v>
      </c>
      <c r="Z69" s="33">
        <f>+Y69+Z17+Z36+Z37</f>
        <v>129.63857629999998</v>
      </c>
      <c r="AA69" s="33">
        <f>+Z69+AA17+AA36+AA37</f>
        <v>130.31357629999999</v>
      </c>
      <c r="AB69" s="33">
        <f>+AA69+AB17+AB36+AB37</f>
        <v>130.98857630000001</v>
      </c>
      <c r="AC69" s="33">
        <f>+AB69+AC17+AC36+AC37</f>
        <v>131.66357630000002</v>
      </c>
      <c r="AD69" s="33">
        <f>+AC69</f>
        <v>131.66357630000002</v>
      </c>
    </row>
    <row r="70" spans="3:36" x14ac:dyDescent="0.2">
      <c r="C70" s="17" t="s">
        <v>165</v>
      </c>
      <c r="D70" s="37">
        <f t="shared" ref="D70:AD70" si="18">ROUNDDOWN(+D49+D56-D60-D67-D69,2)</f>
        <v>0.09</v>
      </c>
      <c r="E70" s="37">
        <f t="shared" si="18"/>
        <v>0</v>
      </c>
      <c r="F70" s="37">
        <f t="shared" si="18"/>
        <v>0</v>
      </c>
      <c r="G70" s="37">
        <f t="shared" si="18"/>
        <v>0</v>
      </c>
      <c r="H70" s="37">
        <f t="shared" si="18"/>
        <v>0</v>
      </c>
      <c r="I70" s="37">
        <f t="shared" si="18"/>
        <v>0</v>
      </c>
      <c r="J70" s="37">
        <f t="shared" si="18"/>
        <v>0</v>
      </c>
      <c r="K70" s="37">
        <f t="shared" si="18"/>
        <v>0</v>
      </c>
      <c r="L70" s="37">
        <f t="shared" si="18"/>
        <v>0</v>
      </c>
      <c r="M70" s="37">
        <f t="shared" si="18"/>
        <v>0</v>
      </c>
      <c r="N70" s="37">
        <f t="shared" si="18"/>
        <v>0</v>
      </c>
      <c r="O70" s="37">
        <f t="shared" si="18"/>
        <v>0</v>
      </c>
      <c r="P70" s="37">
        <f t="shared" si="18"/>
        <v>0</v>
      </c>
      <c r="Q70" s="37">
        <f t="shared" si="18"/>
        <v>0</v>
      </c>
      <c r="R70" s="37">
        <f t="shared" si="18"/>
        <v>0</v>
      </c>
      <c r="S70" s="37">
        <f t="shared" si="18"/>
        <v>0</v>
      </c>
      <c r="T70" s="37">
        <f t="shared" si="18"/>
        <v>0</v>
      </c>
      <c r="U70" s="37">
        <f t="shared" si="18"/>
        <v>0</v>
      </c>
      <c r="V70" s="37">
        <f t="shared" si="18"/>
        <v>0</v>
      </c>
      <c r="W70" s="37">
        <f t="shared" si="18"/>
        <v>0</v>
      </c>
      <c r="X70" s="37">
        <f t="shared" si="18"/>
        <v>0</v>
      </c>
      <c r="Y70" s="37">
        <f t="shared" si="18"/>
        <v>0</v>
      </c>
      <c r="Z70" s="37">
        <f t="shared" si="18"/>
        <v>0</v>
      </c>
      <c r="AA70" s="37">
        <f t="shared" si="18"/>
        <v>0</v>
      </c>
      <c r="AB70" s="37">
        <f t="shared" si="18"/>
        <v>0</v>
      </c>
      <c r="AC70" s="37">
        <f t="shared" si="18"/>
        <v>0</v>
      </c>
      <c r="AD70" s="37">
        <f t="shared" si="18"/>
        <v>0</v>
      </c>
    </row>
    <row r="71" spans="3:36" ht="5.0999999999999996" customHeight="1" x14ac:dyDescent="0.2">
      <c r="D71" s="37"/>
      <c r="E71" s="37"/>
      <c r="F71" s="37"/>
      <c r="G71" s="37"/>
      <c r="H71" s="37"/>
      <c r="I71" s="37"/>
      <c r="J71" s="37"/>
      <c r="K71" s="37"/>
      <c r="L71" s="37"/>
      <c r="M71" s="37"/>
      <c r="N71" s="37"/>
      <c r="O71" s="37"/>
      <c r="P71" s="37"/>
      <c r="Q71" s="37"/>
      <c r="R71" s="37"/>
    </row>
    <row r="72" spans="3:36" x14ac:dyDescent="0.2">
      <c r="C72" s="30" t="s">
        <v>166</v>
      </c>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row>
    <row r="73" spans="3:36" x14ac:dyDescent="0.2">
      <c r="C73" s="17" t="s">
        <v>93</v>
      </c>
      <c r="D73" s="38"/>
      <c r="E73" s="38"/>
      <c r="F73" s="38"/>
      <c r="G73" s="38"/>
      <c r="H73" s="38"/>
      <c r="I73" s="38"/>
      <c r="J73" s="38">
        <f t="shared" ref="J73:U73" si="19">+J17/J75</f>
        <v>3.1367300634665054</v>
      </c>
      <c r="K73" s="38">
        <f t="shared" si="19"/>
        <v>0.26139417195554204</v>
      </c>
      <c r="L73" s="38">
        <f t="shared" si="19"/>
        <v>0.53136758029860831</v>
      </c>
      <c r="M73" s="38">
        <f t="shared" si="19"/>
        <v>0.32324861134831995</v>
      </c>
      <c r="N73" s="38">
        <f t="shared" si="19"/>
        <v>0.29668023233338947</v>
      </c>
      <c r="O73" s="38">
        <f t="shared" si="19"/>
        <v>1.4125521509604664</v>
      </c>
      <c r="P73" s="38">
        <f t="shared" si="19"/>
        <v>3.5365515421884486E-2</v>
      </c>
      <c r="Q73" s="38">
        <f t="shared" si="19"/>
        <v>0.21219309253130716</v>
      </c>
      <c r="R73" s="38">
        <f t="shared" si="19"/>
        <v>0.22900639980404094</v>
      </c>
      <c r="S73" s="38">
        <f t="shared" si="19"/>
        <v>0.65059815246829256</v>
      </c>
      <c r="T73" s="38">
        <f t="shared" si="19"/>
        <v>1.1253589664316404</v>
      </c>
      <c r="U73" s="38">
        <f t="shared" si="19"/>
        <v>0.60268247772569528</v>
      </c>
    </row>
    <row r="74" spans="3:36" x14ac:dyDescent="0.2">
      <c r="C74" s="17" t="s">
        <v>94</v>
      </c>
      <c r="D74" s="38"/>
      <c r="E74" s="38"/>
      <c r="F74" s="38"/>
      <c r="G74" s="38"/>
      <c r="H74" s="38"/>
      <c r="I74" s="38"/>
      <c r="J74" s="38">
        <f>+J73/'Stocks Valuation'!$D$35</f>
        <v>33.224553156090515</v>
      </c>
      <c r="K74" s="38">
        <f>+K73/'Stocks Valuation'!$D$35</f>
        <v>2.7687127630075423</v>
      </c>
      <c r="L74" s="38">
        <f>+L73/'Stocks Valuation'!$D$35</f>
        <v>5.628297641124969</v>
      </c>
      <c r="M74" s="38">
        <f>+M73/'Stocks Valuation'!$D$35</f>
        <v>3.4238810650176883</v>
      </c>
      <c r="N74" s="38">
        <f>+N73/'Stocks Valuation'!$D$35</f>
        <v>3.1424661829614395</v>
      </c>
      <c r="O74" s="38">
        <f>+O73/'Stocks Valuation'!$D$35</f>
        <v>14.96189122932387</v>
      </c>
      <c r="P74" s="38">
        <f>+P73/'Stocks Valuation'!$D$35</f>
        <v>0.37459501559034519</v>
      </c>
      <c r="Q74" s="38">
        <f>+Q73/'Stocks Valuation'!$D$35</f>
        <v>2.2475700935420737</v>
      </c>
      <c r="R74" s="38">
        <f>+R73/'Stocks Valuation'!$D$35</f>
        <v>2.4256582968333964</v>
      </c>
      <c r="S74" s="38">
        <f>+S73/'Stocks Valuation'!$D$35</f>
        <v>6.8911995812762692</v>
      </c>
      <c r="T74" s="38">
        <f>+T73/'Stocks Valuation'!$D$35</f>
        <v>11.919912789234619</v>
      </c>
      <c r="U74" s="38">
        <f>+U73/'Stocks Valuation'!$D$35</f>
        <v>6.3836720445471382</v>
      </c>
    </row>
    <row r="75" spans="3:36" x14ac:dyDescent="0.2">
      <c r="C75" s="17" t="s">
        <v>95</v>
      </c>
      <c r="D75" s="34"/>
      <c r="E75" s="34"/>
      <c r="F75" s="34"/>
      <c r="G75" s="34"/>
      <c r="H75" s="34"/>
      <c r="I75" s="34"/>
      <c r="J75" s="34">
        <v>22.571276000000001</v>
      </c>
      <c r="K75" s="34">
        <v>22.571276000000001</v>
      </c>
      <c r="L75" s="34">
        <v>22.583237</v>
      </c>
      <c r="M75" s="34">
        <v>22.583237</v>
      </c>
      <c r="N75" s="34">
        <v>22.583237</v>
      </c>
      <c r="O75" s="34">
        <v>22.583237</v>
      </c>
      <c r="P75" s="34">
        <v>22.620906000000002</v>
      </c>
      <c r="Q75" s="34">
        <v>22.620906000000002</v>
      </c>
      <c r="R75" s="34">
        <v>22.706789000000001</v>
      </c>
      <c r="S75" s="34">
        <v>22.748297000000001</v>
      </c>
      <c r="T75" s="34">
        <v>22.748297000000001</v>
      </c>
      <c r="U75" s="34">
        <v>22.748297000000001</v>
      </c>
    </row>
    <row r="76" spans="3:36" ht="5.0999999999999996" customHeight="1" x14ac:dyDescent="0.2">
      <c r="D76" s="1"/>
      <c r="E76" s="1"/>
      <c r="F76" s="1"/>
      <c r="G76" s="1"/>
      <c r="H76" s="1"/>
      <c r="I76" s="1"/>
      <c r="J76" s="1"/>
      <c r="K76" s="1"/>
      <c r="L76" s="1"/>
      <c r="M76" s="1"/>
      <c r="N76" s="1"/>
      <c r="O76" s="1"/>
      <c r="P76" s="1"/>
      <c r="Q76" s="1"/>
      <c r="R76" s="1"/>
    </row>
    <row r="77" spans="3:36" x14ac:dyDescent="0.2">
      <c r="C77" s="42" t="s">
        <v>172</v>
      </c>
      <c r="D77" s="37">
        <f>+D62+D58</f>
        <v>140.1</v>
      </c>
      <c r="E77" s="37">
        <f t="shared" ref="E77:AD77" si="20">+E62+E58</f>
        <v>246</v>
      </c>
      <c r="F77" s="37">
        <f t="shared" si="20"/>
        <v>242.5</v>
      </c>
      <c r="G77" s="37">
        <f t="shared" si="20"/>
        <v>239.10000000000002</v>
      </c>
      <c r="H77" s="37">
        <f t="shared" si="20"/>
        <v>235.60000000000002</v>
      </c>
      <c r="I77" s="37">
        <f t="shared" si="20"/>
        <v>232.70000000000002</v>
      </c>
      <c r="J77" s="37">
        <f t="shared" si="20"/>
        <v>232.70000000000002</v>
      </c>
      <c r="K77" s="37">
        <f t="shared" si="20"/>
        <v>228.5</v>
      </c>
      <c r="L77" s="37">
        <f t="shared" si="20"/>
        <v>225</v>
      </c>
      <c r="M77" s="37">
        <f t="shared" si="20"/>
        <v>221.5</v>
      </c>
      <c r="N77" s="37">
        <f t="shared" si="20"/>
        <v>218</v>
      </c>
      <c r="O77" s="37">
        <f t="shared" si="20"/>
        <v>218</v>
      </c>
      <c r="P77" s="37">
        <f t="shared" si="20"/>
        <v>214.5</v>
      </c>
      <c r="Q77" s="37">
        <f t="shared" si="20"/>
        <v>210.9</v>
      </c>
      <c r="R77" s="37">
        <f t="shared" si="20"/>
        <v>207.4</v>
      </c>
      <c r="S77" s="37">
        <f t="shared" si="20"/>
        <v>203.9</v>
      </c>
      <c r="T77" s="37">
        <f t="shared" si="20"/>
        <v>203.9</v>
      </c>
      <c r="U77" s="37">
        <f t="shared" si="20"/>
        <v>120.47142370000002</v>
      </c>
      <c r="V77" s="37">
        <f t="shared" si="20"/>
        <v>117.69642370000001</v>
      </c>
      <c r="W77" s="37">
        <f t="shared" si="20"/>
        <v>114.92142370000001</v>
      </c>
      <c r="X77" s="37">
        <f t="shared" si="20"/>
        <v>112.1464237</v>
      </c>
      <c r="Y77" s="37">
        <f t="shared" si="20"/>
        <v>112.1464237</v>
      </c>
      <c r="Z77" s="37">
        <f t="shared" si="20"/>
        <v>109.37142369999999</v>
      </c>
      <c r="AA77" s="37">
        <f t="shared" si="20"/>
        <v>106.59642369999999</v>
      </c>
      <c r="AB77" s="37">
        <f t="shared" si="20"/>
        <v>103.82142369999998</v>
      </c>
      <c r="AC77" s="37">
        <f t="shared" si="20"/>
        <v>101.04642369999998</v>
      </c>
      <c r="AD77" s="37">
        <f t="shared" si="20"/>
        <v>101.04642369999998</v>
      </c>
    </row>
    <row r="78" spans="3:36" x14ac:dyDescent="0.2">
      <c r="C78" s="17" t="s">
        <v>173</v>
      </c>
      <c r="D78" s="37">
        <f>+D51+D52</f>
        <v>20.200000000000003</v>
      </c>
      <c r="E78" s="37">
        <f t="shared" ref="E78:AD78" si="21">+E51+E52</f>
        <v>20</v>
      </c>
      <c r="F78" s="37">
        <f t="shared" si="21"/>
        <v>20.399999999999999</v>
      </c>
      <c r="G78" s="37">
        <f t="shared" si="21"/>
        <v>22.3</v>
      </c>
      <c r="H78" s="37">
        <f t="shared" si="21"/>
        <v>28.5</v>
      </c>
      <c r="I78" s="37">
        <f t="shared" si="21"/>
        <v>24.1</v>
      </c>
      <c r="J78" s="37">
        <f t="shared" si="21"/>
        <v>24.1</v>
      </c>
      <c r="K78" s="37">
        <f t="shared" si="21"/>
        <v>17.900000000000002</v>
      </c>
      <c r="L78" s="37">
        <f t="shared" si="21"/>
        <v>18.5</v>
      </c>
      <c r="M78" s="37">
        <f t="shared" si="21"/>
        <v>14.7</v>
      </c>
      <c r="N78" s="37">
        <f t="shared" si="21"/>
        <v>15.7</v>
      </c>
      <c r="O78" s="37">
        <f t="shared" si="21"/>
        <v>15.7</v>
      </c>
      <c r="P78" s="37">
        <f t="shared" si="21"/>
        <v>16</v>
      </c>
      <c r="Q78" s="37">
        <f t="shared" si="21"/>
        <v>15.2</v>
      </c>
      <c r="R78" s="37">
        <f t="shared" si="21"/>
        <v>16.600000000000001</v>
      </c>
      <c r="S78" s="37">
        <f t="shared" si="21"/>
        <v>30.8</v>
      </c>
      <c r="T78" s="37">
        <f t="shared" si="21"/>
        <v>30.8</v>
      </c>
      <c r="U78" s="37">
        <f t="shared" si="21"/>
        <v>43.610000000000014</v>
      </c>
      <c r="V78" s="37">
        <f t="shared" si="21"/>
        <v>43.610000000000014</v>
      </c>
      <c r="W78" s="37">
        <f t="shared" si="21"/>
        <v>43.610000000000014</v>
      </c>
      <c r="X78" s="37">
        <f t="shared" si="21"/>
        <v>43.610000000000014</v>
      </c>
      <c r="Y78" s="37">
        <f t="shared" si="21"/>
        <v>43.610000000000014</v>
      </c>
      <c r="Z78" s="37">
        <f t="shared" si="21"/>
        <v>43.610000000000014</v>
      </c>
      <c r="AA78" s="37">
        <f t="shared" si="21"/>
        <v>43.610000000000014</v>
      </c>
      <c r="AB78" s="37">
        <f t="shared" si="21"/>
        <v>43.610000000000014</v>
      </c>
      <c r="AC78" s="37">
        <f t="shared" si="21"/>
        <v>43.610000000000014</v>
      </c>
      <c r="AD78" s="37">
        <f t="shared" si="21"/>
        <v>43.610000000000014</v>
      </c>
    </row>
    <row r="79" spans="3:36" s="20" customFormat="1" x14ac:dyDescent="0.2">
      <c r="C79" s="17" t="s">
        <v>174</v>
      </c>
      <c r="D79" s="37">
        <f>+D77-D78</f>
        <v>119.89999999999999</v>
      </c>
      <c r="E79" s="37">
        <f t="shared" ref="E79:AD79" si="22">+E77-E78</f>
        <v>226</v>
      </c>
      <c r="F79" s="37">
        <f t="shared" si="22"/>
        <v>222.1</v>
      </c>
      <c r="G79" s="37">
        <f t="shared" si="22"/>
        <v>216.8</v>
      </c>
      <c r="H79" s="37">
        <f t="shared" si="22"/>
        <v>207.10000000000002</v>
      </c>
      <c r="I79" s="37">
        <f t="shared" si="22"/>
        <v>208.60000000000002</v>
      </c>
      <c r="J79" s="37">
        <f t="shared" si="22"/>
        <v>208.60000000000002</v>
      </c>
      <c r="K79" s="37">
        <f t="shared" si="22"/>
        <v>210.6</v>
      </c>
      <c r="L79" s="37">
        <f t="shared" si="22"/>
        <v>206.5</v>
      </c>
      <c r="M79" s="37">
        <f t="shared" si="22"/>
        <v>206.8</v>
      </c>
      <c r="N79" s="37">
        <f t="shared" si="22"/>
        <v>202.3</v>
      </c>
      <c r="O79" s="37">
        <f t="shared" si="22"/>
        <v>202.3</v>
      </c>
      <c r="P79" s="37">
        <f t="shared" si="22"/>
        <v>198.5</v>
      </c>
      <c r="Q79" s="37">
        <f t="shared" si="22"/>
        <v>195.70000000000002</v>
      </c>
      <c r="R79" s="37">
        <f t="shared" si="22"/>
        <v>190.8</v>
      </c>
      <c r="S79" s="37">
        <f t="shared" si="22"/>
        <v>173.1</v>
      </c>
      <c r="T79" s="37">
        <f t="shared" si="22"/>
        <v>173.1</v>
      </c>
      <c r="U79" s="37">
        <f t="shared" si="22"/>
        <v>76.861423700000003</v>
      </c>
      <c r="V79" s="37">
        <f t="shared" si="22"/>
        <v>74.086423699999997</v>
      </c>
      <c r="W79" s="37">
        <f t="shared" si="22"/>
        <v>71.311423699999992</v>
      </c>
      <c r="X79" s="37">
        <f t="shared" si="22"/>
        <v>68.536423699999986</v>
      </c>
      <c r="Y79" s="37">
        <f t="shared" si="22"/>
        <v>68.536423699999986</v>
      </c>
      <c r="Z79" s="37">
        <f t="shared" si="22"/>
        <v>65.76142369999998</v>
      </c>
      <c r="AA79" s="37">
        <f t="shared" si="22"/>
        <v>62.986423699999975</v>
      </c>
      <c r="AB79" s="37">
        <f t="shared" si="22"/>
        <v>60.211423699999969</v>
      </c>
      <c r="AC79" s="37">
        <f t="shared" si="22"/>
        <v>57.436423699999963</v>
      </c>
      <c r="AD79" s="37">
        <f t="shared" si="22"/>
        <v>57.436423699999963</v>
      </c>
      <c r="AI79" s="21"/>
      <c r="AJ79" s="21"/>
    </row>
    <row r="80" spans="3:36" s="20" customFormat="1" x14ac:dyDescent="0.2">
      <c r="C80" s="17" t="s">
        <v>281</v>
      </c>
      <c r="D80" s="37">
        <f>+D53+D54+D55-D63-D64-D66</f>
        <v>-1.9000000000000001</v>
      </c>
      <c r="E80" s="37">
        <f t="shared" ref="E80:AD80" si="23">+E53+E54+E55-E63-E64-E66</f>
        <v>-2.0999999999999996</v>
      </c>
      <c r="F80" s="37">
        <f t="shared" si="23"/>
        <v>-2.1</v>
      </c>
      <c r="G80" s="37">
        <f t="shared" si="23"/>
        <v>-1.5</v>
      </c>
      <c r="H80" s="37">
        <f t="shared" si="23"/>
        <v>-4.2</v>
      </c>
      <c r="I80" s="37">
        <f t="shared" si="23"/>
        <v>-2.4</v>
      </c>
      <c r="J80" s="37">
        <f t="shared" si="23"/>
        <v>-2.4</v>
      </c>
      <c r="K80" s="37">
        <f t="shared" si="23"/>
        <v>-0.50000000000000044</v>
      </c>
      <c r="L80" s="37">
        <f t="shared" si="23"/>
        <v>2.2999999999999998</v>
      </c>
      <c r="M80" s="37">
        <f t="shared" si="23"/>
        <v>5.2000000000000011</v>
      </c>
      <c r="N80" s="37">
        <f t="shared" si="23"/>
        <v>5.9</v>
      </c>
      <c r="O80" s="37">
        <f t="shared" si="23"/>
        <v>5.9</v>
      </c>
      <c r="P80" s="37">
        <f t="shared" si="23"/>
        <v>5.2</v>
      </c>
      <c r="Q80" s="37">
        <f t="shared" si="23"/>
        <v>7.1</v>
      </c>
      <c r="R80" s="37">
        <f t="shared" si="23"/>
        <v>8.0000000000000018</v>
      </c>
      <c r="S80" s="37">
        <f t="shared" si="23"/>
        <v>0.80000000000000071</v>
      </c>
      <c r="T80" s="37">
        <f t="shared" si="23"/>
        <v>0.80000000000000071</v>
      </c>
      <c r="U80" s="37">
        <f t="shared" si="23"/>
        <v>0.80000000000000071</v>
      </c>
      <c r="V80" s="37">
        <f t="shared" si="23"/>
        <v>0.80000000000000071</v>
      </c>
      <c r="W80" s="37">
        <f t="shared" si="23"/>
        <v>0.80000000000000071</v>
      </c>
      <c r="X80" s="37">
        <f t="shared" si="23"/>
        <v>0.80000000000000071</v>
      </c>
      <c r="Y80" s="37">
        <f t="shared" si="23"/>
        <v>0.80000000000000071</v>
      </c>
      <c r="Z80" s="37">
        <f t="shared" si="23"/>
        <v>0.80000000000000071</v>
      </c>
      <c r="AA80" s="37">
        <f t="shared" si="23"/>
        <v>0.80000000000000071</v>
      </c>
      <c r="AB80" s="37">
        <f t="shared" si="23"/>
        <v>0.80000000000000071</v>
      </c>
      <c r="AC80" s="37">
        <f t="shared" si="23"/>
        <v>0.80000000000000071</v>
      </c>
      <c r="AD80" s="37">
        <f t="shared" si="23"/>
        <v>0.80000000000000071</v>
      </c>
      <c r="AI80" s="21"/>
      <c r="AJ80" s="21"/>
    </row>
    <row r="81" spans="3:36" s="20" customFormat="1" ht="5.0999999999999996" customHeight="1" x14ac:dyDescent="0.2">
      <c r="C81" s="17"/>
      <c r="D81" s="17"/>
      <c r="E81" s="17"/>
      <c r="F81" s="17"/>
      <c r="G81" s="17"/>
      <c r="H81" s="17"/>
      <c r="I81" s="17"/>
      <c r="J81" s="17"/>
      <c r="K81" s="17"/>
      <c r="L81" s="17"/>
      <c r="M81" s="17"/>
      <c r="N81" s="17"/>
      <c r="O81" s="17"/>
      <c r="P81" s="17"/>
      <c r="Q81" s="17"/>
      <c r="R81" s="17"/>
      <c r="AI81" s="21"/>
      <c r="AJ81" s="21"/>
    </row>
    <row r="82" spans="3:36" s="20" customFormat="1" x14ac:dyDescent="0.2">
      <c r="C82" s="17" t="s">
        <v>175</v>
      </c>
      <c r="D82" s="61">
        <f>-(D15)/D79</f>
        <v>4.1701417848206846E-3</v>
      </c>
      <c r="E82" s="61">
        <f t="shared" ref="E82:R82" si="24">-(E15)/E79</f>
        <v>4.4247787610619468E-2</v>
      </c>
      <c r="F82" s="61">
        <f t="shared" si="24"/>
        <v>1.0805943268797838E-2</v>
      </c>
      <c r="G82" s="61">
        <f t="shared" si="24"/>
        <v>1.1531365313653136E-2</v>
      </c>
      <c r="H82" s="61">
        <f t="shared" si="24"/>
        <v>1.2071463061323031E-2</v>
      </c>
      <c r="I82" s="61">
        <f t="shared" si="24"/>
        <v>1.0546500479386385E-2</v>
      </c>
      <c r="J82" s="61">
        <f t="shared" si="24"/>
        <v>4.6021093000958774E-2</v>
      </c>
      <c r="K82" s="61">
        <f t="shared" si="24"/>
        <v>1.0446343779677115E-2</v>
      </c>
      <c r="L82" s="61">
        <f t="shared" si="24"/>
        <v>1.2106537530266344E-2</v>
      </c>
      <c r="M82" s="61">
        <f t="shared" si="24"/>
        <v>1.1605415860735008E-2</v>
      </c>
      <c r="N82" s="61">
        <f t="shared" si="24"/>
        <v>1.1863568956994561E-2</v>
      </c>
      <c r="O82" s="61">
        <f t="shared" si="24"/>
        <v>4.695996045477014E-2</v>
      </c>
      <c r="P82" s="61">
        <f t="shared" si="24"/>
        <v>1.3602015113350126E-2</v>
      </c>
      <c r="Q82" s="61">
        <f t="shared" si="24"/>
        <v>1.3285641287685229E-2</v>
      </c>
      <c r="R82" s="61">
        <f t="shared" si="24"/>
        <v>1.4675052410901467E-2</v>
      </c>
      <c r="S82" s="61">
        <f>-(S15)/S79</f>
        <v>1.4442518775274409E-2</v>
      </c>
      <c r="T82" s="61">
        <f>-(T15)/T79</f>
        <v>6.1236279607163491E-2</v>
      </c>
      <c r="AI82" s="21"/>
      <c r="AJ82" s="21"/>
    </row>
    <row r="83" spans="3:36" s="20" customFormat="1" x14ac:dyDescent="0.2">
      <c r="C83" s="17" t="s">
        <v>176</v>
      </c>
      <c r="D83" s="37">
        <f>+D46/-D14</f>
        <v>157.33333333333334</v>
      </c>
      <c r="E83" s="37">
        <f>+D46/-E14</f>
        <v>19.070707070707073</v>
      </c>
      <c r="F83" s="37">
        <f>+(E46/(-F14*4))</f>
        <v>32.094827586206897</v>
      </c>
      <c r="G83" s="37">
        <f>+(F46/(-G14*4))</f>
        <v>31.844827586206897</v>
      </c>
      <c r="H83" s="37">
        <f>+(G46/(-H14*4))</f>
        <v>30.541666666666668</v>
      </c>
      <c r="I83" s="37">
        <f>+(H46/(-I14*4))</f>
        <v>31.336206896551726</v>
      </c>
      <c r="J83" s="37">
        <f>AVERAGE(F83:I83)</f>
        <v>31.454382183908049</v>
      </c>
      <c r="K83" s="37">
        <f>+(J46/(-K14*4))</f>
        <v>31.086206896551726</v>
      </c>
      <c r="L83" s="37">
        <f>+(K46/(-L14*4))</f>
        <v>30.836206896551722</v>
      </c>
      <c r="M83" s="37">
        <f>+(L46/(-M14*4))</f>
        <v>29.566666666666666</v>
      </c>
      <c r="N83" s="37">
        <f>+(M46/(-N14*4))</f>
        <v>30.336206896551722</v>
      </c>
      <c r="O83" s="37">
        <f>AVERAGE(K83:N83)</f>
        <v>30.456321839080459</v>
      </c>
      <c r="P83" s="37">
        <f>+(O46/(-P14*4))</f>
        <v>30.086206896551726</v>
      </c>
      <c r="Q83" s="37">
        <f>+(P46/(-Q14*4))</f>
        <v>28.841666666666669</v>
      </c>
      <c r="R83" s="37">
        <f>+(Q46/(-R14*4))</f>
        <v>29.577586206896555</v>
      </c>
      <c r="S83" s="37">
        <f>+(R46/(-S14*4))</f>
        <v>30.375</v>
      </c>
      <c r="T83" s="37">
        <f>+(S46/(-T14))</f>
        <v>29.086206896551719</v>
      </c>
      <c r="AI83" s="21"/>
      <c r="AJ83" s="21"/>
    </row>
    <row r="84" spans="3:36" s="20" customFormat="1" x14ac:dyDescent="0.2">
      <c r="C84" s="17"/>
      <c r="D84" s="17"/>
      <c r="E84" s="17"/>
      <c r="F84" s="17"/>
      <c r="G84" s="17"/>
      <c r="H84" s="17"/>
      <c r="I84" s="17"/>
      <c r="J84" s="17"/>
      <c r="K84" s="17"/>
      <c r="L84" s="17"/>
      <c r="M84" s="17"/>
      <c r="N84" s="17"/>
      <c r="O84" s="17"/>
      <c r="P84" s="17"/>
      <c r="Q84" s="17"/>
      <c r="R84" s="17"/>
      <c r="AI84" s="21"/>
      <c r="AJ84" s="21"/>
    </row>
    <row r="85" spans="3:36" s="20" customFormat="1" x14ac:dyDescent="0.2">
      <c r="C85" s="30" t="s">
        <v>177</v>
      </c>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I85" s="21"/>
      <c r="AJ85" s="21"/>
    </row>
    <row r="86" spans="3:36" s="20" customFormat="1" ht="13.5" thickBot="1" x14ac:dyDescent="0.25">
      <c r="C86" s="49" t="s">
        <v>192</v>
      </c>
      <c r="D86" s="50" t="s">
        <v>193</v>
      </c>
      <c r="E86" s="51" t="s">
        <v>198</v>
      </c>
      <c r="F86" s="51" t="s">
        <v>197</v>
      </c>
      <c r="G86" s="52" t="s">
        <v>200</v>
      </c>
      <c r="H86" s="53" t="s">
        <v>194</v>
      </c>
      <c r="I86" s="53" t="s">
        <v>195</v>
      </c>
      <c r="J86" s="52" t="s">
        <v>196</v>
      </c>
      <c r="K86" s="52" t="s">
        <v>199</v>
      </c>
      <c r="L86" s="1"/>
      <c r="M86" s="1"/>
      <c r="N86" s="1"/>
      <c r="O86" s="1"/>
      <c r="P86" s="1"/>
      <c r="Q86" s="1"/>
      <c r="R86" s="1"/>
      <c r="AI86" s="21"/>
      <c r="AJ86" s="21"/>
    </row>
    <row r="87" spans="3:36" s="20" customFormat="1" x14ac:dyDescent="0.2">
      <c r="C87" s="17" t="s">
        <v>785</v>
      </c>
      <c r="D87" s="2" t="s">
        <v>793</v>
      </c>
      <c r="E87" s="34">
        <v>1</v>
      </c>
      <c r="F87" s="34">
        <v>1</v>
      </c>
      <c r="G87" s="150">
        <v>208000</v>
      </c>
      <c r="H87" s="148">
        <v>43952</v>
      </c>
      <c r="I87" s="54">
        <f t="shared" ref="I87:I92" ca="1" si="25">TODAY()</f>
        <v>45460</v>
      </c>
      <c r="J87" s="56">
        <f t="shared" ref="J87:J92" ca="1" si="26">+(I87-H87)/365</f>
        <v>4.1315068493150688</v>
      </c>
      <c r="K87" s="1"/>
      <c r="L87" s="1"/>
      <c r="M87" s="1"/>
      <c r="N87" s="1"/>
      <c r="O87" s="1"/>
      <c r="P87" s="1"/>
      <c r="Q87" s="1"/>
      <c r="R87" s="1"/>
      <c r="AI87" s="21"/>
      <c r="AJ87" s="21"/>
    </row>
    <row r="88" spans="3:36" s="20" customFormat="1" x14ac:dyDescent="0.2">
      <c r="C88" s="17" t="s">
        <v>786</v>
      </c>
      <c r="D88" s="2" t="s">
        <v>793</v>
      </c>
      <c r="E88" s="34">
        <v>1</v>
      </c>
      <c r="F88" s="34">
        <v>1</v>
      </c>
      <c r="G88" s="150">
        <v>208000</v>
      </c>
      <c r="H88" s="149">
        <v>43922</v>
      </c>
      <c r="I88" s="55">
        <f t="shared" ca="1" si="25"/>
        <v>45460</v>
      </c>
      <c r="J88" s="56">
        <f t="shared" ca="1" si="26"/>
        <v>4.2136986301369861</v>
      </c>
      <c r="K88" s="1"/>
      <c r="L88" s="1"/>
      <c r="M88" s="1"/>
      <c r="N88" s="1"/>
      <c r="O88" s="1"/>
      <c r="P88" s="1"/>
      <c r="Q88" s="1"/>
      <c r="R88" s="1"/>
      <c r="AI88" s="21"/>
      <c r="AJ88" s="21"/>
    </row>
    <row r="89" spans="3:36" s="20" customFormat="1" x14ac:dyDescent="0.2">
      <c r="C89" s="17" t="s">
        <v>787</v>
      </c>
      <c r="D89" s="2" t="s">
        <v>793</v>
      </c>
      <c r="E89" s="34">
        <v>1</v>
      </c>
      <c r="F89" s="34">
        <v>1</v>
      </c>
      <c r="G89" s="150">
        <v>208000</v>
      </c>
      <c r="H89" s="149">
        <v>43831</v>
      </c>
      <c r="I89" s="55">
        <f t="shared" ca="1" si="25"/>
        <v>45460</v>
      </c>
      <c r="J89" s="56">
        <f t="shared" ca="1" si="26"/>
        <v>4.463013698630137</v>
      </c>
      <c r="K89" s="1"/>
      <c r="L89" s="1"/>
      <c r="M89" s="1"/>
      <c r="N89" s="1"/>
      <c r="O89" s="1"/>
      <c r="P89" s="1"/>
      <c r="Q89" s="1"/>
      <c r="R89" s="1"/>
      <c r="AI89" s="21"/>
      <c r="AJ89" s="21"/>
    </row>
    <row r="90" spans="3:36" s="20" customFormat="1" x14ac:dyDescent="0.2">
      <c r="C90" s="17" t="s">
        <v>788</v>
      </c>
      <c r="D90" s="2" t="s">
        <v>793</v>
      </c>
      <c r="E90" s="34">
        <v>1</v>
      </c>
      <c r="F90" s="34">
        <v>1</v>
      </c>
      <c r="G90" s="150">
        <v>208000</v>
      </c>
      <c r="H90" s="149">
        <v>43831</v>
      </c>
      <c r="I90" s="55">
        <f t="shared" ca="1" si="25"/>
        <v>45460</v>
      </c>
      <c r="J90" s="56">
        <f t="shared" ca="1" si="26"/>
        <v>4.463013698630137</v>
      </c>
      <c r="K90" s="1"/>
      <c r="L90" s="1"/>
      <c r="M90" s="1"/>
      <c r="N90" s="1"/>
      <c r="O90" s="1"/>
      <c r="P90" s="1"/>
      <c r="Q90" s="1"/>
      <c r="R90" s="1"/>
      <c r="AI90" s="21"/>
      <c r="AJ90" s="21"/>
    </row>
    <row r="91" spans="3:36" s="20" customFormat="1" x14ac:dyDescent="0.2">
      <c r="C91" s="17" t="s">
        <v>791</v>
      </c>
      <c r="D91" s="2" t="s">
        <v>793</v>
      </c>
      <c r="E91" s="34">
        <v>1</v>
      </c>
      <c r="F91" s="34">
        <v>1</v>
      </c>
      <c r="G91" s="150">
        <v>208000</v>
      </c>
      <c r="H91" s="149">
        <v>43678</v>
      </c>
      <c r="I91" s="55">
        <f t="shared" ca="1" si="25"/>
        <v>45460</v>
      </c>
      <c r="J91" s="56">
        <f t="shared" ca="1" si="26"/>
        <v>4.882191780821918</v>
      </c>
      <c r="K91" s="1"/>
      <c r="L91" s="1"/>
      <c r="M91" s="1"/>
      <c r="N91" s="1"/>
      <c r="O91" s="1"/>
      <c r="P91" s="1"/>
      <c r="Q91" s="1"/>
      <c r="R91" s="1"/>
      <c r="AI91" s="21"/>
      <c r="AJ91" s="21"/>
    </row>
    <row r="92" spans="3:36" s="20" customFormat="1" x14ac:dyDescent="0.2">
      <c r="C92" s="17" t="s">
        <v>792</v>
      </c>
      <c r="D92" s="2" t="s">
        <v>793</v>
      </c>
      <c r="E92" s="34">
        <v>1</v>
      </c>
      <c r="F92" s="34">
        <v>1</v>
      </c>
      <c r="G92" s="150">
        <v>208000</v>
      </c>
      <c r="H92" s="149">
        <v>43709</v>
      </c>
      <c r="I92" s="55">
        <f t="shared" ca="1" si="25"/>
        <v>45460</v>
      </c>
      <c r="J92" s="56">
        <f t="shared" ca="1" si="26"/>
        <v>4.7972602739726025</v>
      </c>
      <c r="K92" s="1"/>
      <c r="L92" s="1"/>
      <c r="M92" s="1"/>
      <c r="N92" s="1"/>
      <c r="O92" s="1"/>
      <c r="P92" s="1"/>
      <c r="Q92" s="1"/>
      <c r="R92" s="1"/>
      <c r="AI92" s="21"/>
      <c r="AJ92" s="21"/>
    </row>
    <row r="93" spans="3:36" s="20" customFormat="1" x14ac:dyDescent="0.2">
      <c r="C93" s="17" t="s">
        <v>790</v>
      </c>
      <c r="D93" s="2" t="s">
        <v>794</v>
      </c>
      <c r="E93" s="34"/>
      <c r="F93" s="34"/>
      <c r="G93" s="1"/>
      <c r="H93" s="55"/>
      <c r="I93" s="55"/>
      <c r="J93" s="56"/>
      <c r="K93" s="1">
        <f>127.5/2</f>
        <v>63.75</v>
      </c>
      <c r="L93" s="1"/>
      <c r="M93" s="1"/>
      <c r="N93" s="1"/>
      <c r="O93" s="1"/>
      <c r="P93" s="1"/>
      <c r="Q93" s="1"/>
      <c r="R93" s="1"/>
      <c r="AI93" s="21"/>
      <c r="AJ93" s="21"/>
    </row>
    <row r="94" spans="3:36" s="20" customFormat="1" x14ac:dyDescent="0.2">
      <c r="C94" s="17" t="s">
        <v>789</v>
      </c>
      <c r="D94" s="2" t="s">
        <v>794</v>
      </c>
      <c r="E94" s="34"/>
      <c r="F94" s="34"/>
      <c r="G94" s="1"/>
      <c r="H94" s="55"/>
      <c r="I94" s="55"/>
      <c r="J94" s="56"/>
      <c r="K94" s="1">
        <f>127.5/2</f>
        <v>63.75</v>
      </c>
      <c r="L94" s="1"/>
      <c r="M94" s="1"/>
      <c r="N94" s="1"/>
      <c r="O94" s="1"/>
      <c r="P94" s="1"/>
      <c r="Q94" s="1"/>
      <c r="R94" s="1"/>
      <c r="AI94" s="21"/>
      <c r="AJ94" s="21"/>
    </row>
    <row r="95" spans="3:36" s="20" customFormat="1" x14ac:dyDescent="0.2">
      <c r="C95" s="17"/>
      <c r="D95" s="2"/>
      <c r="E95" s="34"/>
      <c r="F95" s="34"/>
      <c r="G95" s="1"/>
      <c r="H95" s="55"/>
      <c r="I95" s="55"/>
      <c r="J95" s="56"/>
      <c r="K95" s="1"/>
      <c r="L95" s="1"/>
      <c r="M95" s="1"/>
      <c r="N95" s="1"/>
      <c r="O95" s="1"/>
      <c r="P95" s="1"/>
      <c r="Q95" s="1"/>
      <c r="R95" s="1"/>
      <c r="AI95" s="21"/>
      <c r="AJ95" s="21"/>
    </row>
    <row r="96" spans="3:36" s="20" customFormat="1" x14ac:dyDescent="0.2">
      <c r="C96" s="49" t="s">
        <v>717</v>
      </c>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I96" s="21"/>
      <c r="AJ96" s="21"/>
    </row>
    <row r="97" spans="3:36" s="20" customFormat="1" x14ac:dyDescent="0.2">
      <c r="C97" s="17" t="s">
        <v>785</v>
      </c>
      <c r="D97" s="2" t="s">
        <v>793</v>
      </c>
      <c r="E97" s="34"/>
      <c r="F97" s="34"/>
      <c r="G97" s="1"/>
      <c r="H97" s="55"/>
      <c r="I97" s="55"/>
      <c r="J97" s="56"/>
      <c r="K97" s="1"/>
      <c r="L97" s="1"/>
      <c r="U97" s="40">
        <f>+'FFA &amp; Spot Rates'!E$6*(1+U$116)+U$115</f>
        <v>33625</v>
      </c>
      <c r="V97" s="40">
        <f>+'FFA &amp; Spot Rates'!F$6*(1+V$116)+V$115</f>
        <v>21668.75</v>
      </c>
      <c r="W97" s="40">
        <f>+'FFA &amp; Spot Rates'!G$6*(1+W$116)+W$115</f>
        <v>26578.75</v>
      </c>
      <c r="X97" s="40">
        <f>+'FFA &amp; Spot Rates'!H$6*(1+X$116)+X$115</f>
        <v>28658.75</v>
      </c>
      <c r="Y97" s="34"/>
      <c r="Z97" s="40">
        <f>+'FFA &amp; Spot Rates'!J$6*(1+Z$116)+Z$115</f>
        <v>19072.900000000001</v>
      </c>
      <c r="AA97" s="40">
        <f>+'FFA &amp; Spot Rates'!K$6*(1+AA$116)+AA$115</f>
        <v>27093.9</v>
      </c>
      <c r="AB97" s="40">
        <f>+'FFA &amp; Spot Rates'!L$6*(1+AB$116)+AB$115</f>
        <v>36115.9</v>
      </c>
      <c r="AC97" s="40">
        <f>+'FFA &amp; Spot Rates'!M$6*(1+AC$116)+AC$115</f>
        <v>34303.699999999997</v>
      </c>
      <c r="AI97" s="21"/>
      <c r="AJ97" s="21"/>
    </row>
    <row r="98" spans="3:36" s="20" customFormat="1" x14ac:dyDescent="0.2">
      <c r="C98" s="17" t="s">
        <v>786</v>
      </c>
      <c r="D98" s="2" t="s">
        <v>793</v>
      </c>
      <c r="E98" s="34"/>
      <c r="F98" s="34"/>
      <c r="G98" s="1"/>
      <c r="H98" s="55"/>
      <c r="I98" s="55"/>
      <c r="J98" s="56"/>
      <c r="K98" s="1"/>
      <c r="L98" s="1"/>
      <c r="U98" s="40">
        <f>+'FFA &amp; Spot Rates'!E$6*(1+U$116)+U$115</f>
        <v>33625</v>
      </c>
      <c r="V98" s="40">
        <f>+'FFA &amp; Spot Rates'!F$6*(1+V$116)+V$115</f>
        <v>21668.75</v>
      </c>
      <c r="W98" s="40">
        <f>+'FFA &amp; Spot Rates'!G$6*(1+W$116)+W$115</f>
        <v>26578.75</v>
      </c>
      <c r="X98" s="40">
        <f>+'FFA &amp; Spot Rates'!H$6*(1+X$116)+X$115</f>
        <v>28658.75</v>
      </c>
      <c r="Y98" s="34"/>
      <c r="Z98" s="40">
        <f>+'FFA &amp; Spot Rates'!J$6*(1+Z$116)+Z$115</f>
        <v>19072.900000000001</v>
      </c>
      <c r="AA98" s="40">
        <f>+'FFA &amp; Spot Rates'!K$6*(1+AA$116)+AA$115</f>
        <v>27093.9</v>
      </c>
      <c r="AB98" s="40">
        <f>+'FFA &amp; Spot Rates'!L$6*(1+AB$116)+AB$115</f>
        <v>36115.9</v>
      </c>
      <c r="AC98" s="40">
        <f>+'FFA &amp; Spot Rates'!M$6*(1+AC$116)+AC$115</f>
        <v>34303.699999999997</v>
      </c>
      <c r="AI98" s="21"/>
      <c r="AJ98" s="21"/>
    </row>
    <row r="99" spans="3:36" s="20" customFormat="1" x14ac:dyDescent="0.2">
      <c r="C99" s="17" t="s">
        <v>787</v>
      </c>
      <c r="D99" s="2" t="s">
        <v>793</v>
      </c>
      <c r="E99" s="17"/>
      <c r="F99" s="17"/>
      <c r="G99" s="1"/>
      <c r="H99" s="1"/>
      <c r="I99" s="1"/>
      <c r="J99" s="1"/>
      <c r="K99" s="1"/>
      <c r="L99" s="1"/>
      <c r="U99" s="40">
        <f>+'FFA &amp; Spot Rates'!E$6*(1+U$116)+U$115</f>
        <v>33625</v>
      </c>
      <c r="V99" s="40">
        <f>+'FFA &amp; Spot Rates'!F$6*(1+V$116)+V$115</f>
        <v>21668.75</v>
      </c>
      <c r="W99" s="40">
        <f>+'FFA &amp; Spot Rates'!G$6*(1+W$116)+W$115</f>
        <v>26578.75</v>
      </c>
      <c r="X99" s="40">
        <f>+'FFA &amp; Spot Rates'!H$6*(1+X$116)+X$115</f>
        <v>28658.75</v>
      </c>
      <c r="Y99" s="34"/>
      <c r="Z99" s="40">
        <f>+'FFA &amp; Spot Rates'!J$6*(1+Z$116)+Z$115</f>
        <v>19072.900000000001</v>
      </c>
      <c r="AA99" s="40">
        <f>+'FFA &amp; Spot Rates'!K$6*(1+AA$116)+AA$115</f>
        <v>27093.9</v>
      </c>
      <c r="AB99" s="40">
        <f>+'FFA &amp; Spot Rates'!L$6*(1+AB$116)+AB$115</f>
        <v>36115.9</v>
      </c>
      <c r="AC99" s="40">
        <f>+'FFA &amp; Spot Rates'!M$6*(1+AC$116)+AC$115</f>
        <v>34303.699999999997</v>
      </c>
      <c r="AI99" s="21"/>
      <c r="AJ99" s="21"/>
    </row>
    <row r="100" spans="3:36" s="20" customFormat="1" x14ac:dyDescent="0.2">
      <c r="C100" s="17" t="s">
        <v>788</v>
      </c>
      <c r="D100" s="2" t="s">
        <v>793</v>
      </c>
      <c r="E100" s="17"/>
      <c r="F100" s="17"/>
      <c r="G100" s="1"/>
      <c r="H100" s="1"/>
      <c r="I100" s="1"/>
      <c r="J100" s="1"/>
      <c r="K100" s="1"/>
      <c r="L100" s="1"/>
      <c r="U100" s="40">
        <f>+'FFA &amp; Spot Rates'!E$6*(1+U$116)+U$115</f>
        <v>33625</v>
      </c>
      <c r="V100" s="40">
        <f>+'FFA &amp; Spot Rates'!F$6*(1+V$116)+V$115</f>
        <v>21668.75</v>
      </c>
      <c r="W100" s="40">
        <f>+'FFA &amp; Spot Rates'!G$6*(1+W$116)+W$115</f>
        <v>26578.75</v>
      </c>
      <c r="X100" s="40">
        <f>+'FFA &amp; Spot Rates'!H$6*(1+X$116)+X$115</f>
        <v>28658.75</v>
      </c>
      <c r="Y100" s="34"/>
      <c r="Z100" s="40">
        <f>+'FFA &amp; Spot Rates'!J$6*(1+Z$116)+Z$115</f>
        <v>19072.900000000001</v>
      </c>
      <c r="AA100" s="40">
        <f>+'FFA &amp; Spot Rates'!K$6*(1+AA$116)+AA$115</f>
        <v>27093.9</v>
      </c>
      <c r="AB100" s="40">
        <f>+'FFA &amp; Spot Rates'!L$6*(1+AB$116)+AB$115</f>
        <v>36115.9</v>
      </c>
      <c r="AC100" s="40">
        <f>+'FFA &amp; Spot Rates'!M$6*(1+AC$116)+AC$115</f>
        <v>34303.699999999997</v>
      </c>
      <c r="AI100" s="21"/>
      <c r="AJ100" s="21"/>
    </row>
    <row r="101" spans="3:36" s="20" customFormat="1" x14ac:dyDescent="0.2">
      <c r="C101" s="17" t="s">
        <v>791</v>
      </c>
      <c r="D101" s="2" t="s">
        <v>793</v>
      </c>
      <c r="E101" s="17"/>
      <c r="F101" s="17"/>
      <c r="G101" s="1"/>
      <c r="H101" s="1"/>
      <c r="I101" s="1"/>
      <c r="J101" s="1"/>
      <c r="K101" s="1"/>
      <c r="L101" s="1"/>
      <c r="U101" s="40">
        <f>+'FFA &amp; Spot Rates'!E$6*(1+U$116)+U$115</f>
        <v>33625</v>
      </c>
      <c r="V101" s="40">
        <f>+'FFA &amp; Spot Rates'!F$6*(1+V$116)+V$115</f>
        <v>21668.75</v>
      </c>
      <c r="W101" s="40">
        <f>+'FFA &amp; Spot Rates'!G$6*(1+W$116)+W$115</f>
        <v>26578.75</v>
      </c>
      <c r="X101" s="40">
        <f>+'FFA &amp; Spot Rates'!H$6*(1+X$116)+X$115</f>
        <v>28658.75</v>
      </c>
      <c r="Y101" s="34"/>
      <c r="Z101" s="40">
        <f>+'FFA &amp; Spot Rates'!J$6*(1+Z$116)+Z$115</f>
        <v>19072.900000000001</v>
      </c>
      <c r="AA101" s="40">
        <f>+'FFA &amp; Spot Rates'!K$6*(1+AA$116)+AA$115</f>
        <v>27093.9</v>
      </c>
      <c r="AB101" s="40">
        <f>+'FFA &amp; Spot Rates'!L$6*(1+AB$116)+AB$115</f>
        <v>36115.9</v>
      </c>
      <c r="AC101" s="40">
        <f>+'FFA &amp; Spot Rates'!M$6*(1+AC$116)+AC$115</f>
        <v>34303.699999999997</v>
      </c>
      <c r="AI101" s="21"/>
      <c r="AJ101" s="21"/>
    </row>
    <row r="102" spans="3:36" s="20" customFormat="1" x14ac:dyDescent="0.2">
      <c r="C102" s="17" t="s">
        <v>792</v>
      </c>
      <c r="D102" s="2" t="s">
        <v>793</v>
      </c>
      <c r="E102" s="17"/>
      <c r="F102" s="17"/>
      <c r="G102" s="1"/>
      <c r="H102" s="1"/>
      <c r="I102" s="1"/>
      <c r="J102" s="1"/>
      <c r="K102" s="1"/>
      <c r="L102" s="1"/>
      <c r="U102" s="40">
        <f>+'FFA &amp; Spot Rates'!E$6*(1+U$116)+U$115</f>
        <v>33625</v>
      </c>
      <c r="V102" s="40">
        <f>+'FFA &amp; Spot Rates'!F$6*(1+V$116)+V$115</f>
        <v>21668.75</v>
      </c>
      <c r="W102" s="40">
        <f>+'FFA &amp; Spot Rates'!G$6*(1+W$116)+W$115</f>
        <v>26578.75</v>
      </c>
      <c r="X102" s="40">
        <f>+'FFA &amp; Spot Rates'!H$6*(1+X$116)+X$115</f>
        <v>28658.75</v>
      </c>
      <c r="Y102" s="34"/>
      <c r="Z102" s="40">
        <f>+'FFA &amp; Spot Rates'!J$6*(1+Z$116)+Z$115</f>
        <v>19072.900000000001</v>
      </c>
      <c r="AA102" s="40">
        <f>+'FFA &amp; Spot Rates'!K$6*(1+AA$116)+AA$115</f>
        <v>27093.9</v>
      </c>
      <c r="AB102" s="40">
        <f>+'FFA &amp; Spot Rates'!L$6*(1+AB$116)+AB$115</f>
        <v>36115.9</v>
      </c>
      <c r="AC102" s="40">
        <f>+'FFA &amp; Spot Rates'!M$6*(1+AC$116)+AC$115</f>
        <v>34303.699999999997</v>
      </c>
      <c r="AI102" s="21"/>
      <c r="AJ102" s="21"/>
    </row>
    <row r="103" spans="3:36" s="20" customFormat="1" x14ac:dyDescent="0.2">
      <c r="C103" s="151" t="s">
        <v>790</v>
      </c>
      <c r="D103" s="2" t="s">
        <v>793</v>
      </c>
      <c r="E103" s="17"/>
      <c r="F103" s="17"/>
      <c r="G103" s="1"/>
      <c r="H103" s="1"/>
      <c r="I103" s="1"/>
      <c r="J103" s="1"/>
      <c r="K103" s="1"/>
      <c r="L103" s="1"/>
      <c r="U103" s="40">
        <f>+'FFA &amp; Spot Rates'!E$6*(1+U$116)+U$115</f>
        <v>33625</v>
      </c>
      <c r="V103" s="40">
        <f>+'FFA &amp; Spot Rates'!F$6/3*(1+$V$116)+$V$115/3</f>
        <v>7222.9166666666661</v>
      </c>
      <c r="W103" s="34"/>
      <c r="X103" s="34"/>
      <c r="Y103" s="34"/>
      <c r="Z103" s="34"/>
      <c r="AA103" s="34"/>
      <c r="AB103" s="34"/>
      <c r="AC103" s="34"/>
      <c r="AI103" s="21"/>
      <c r="AJ103" s="21"/>
    </row>
    <row r="104" spans="3:36" s="20" customFormat="1" x14ac:dyDescent="0.2">
      <c r="C104" s="151" t="s">
        <v>789</v>
      </c>
      <c r="D104" s="2" t="s">
        <v>793</v>
      </c>
      <c r="E104" s="17"/>
      <c r="F104" s="17"/>
      <c r="G104" s="1"/>
      <c r="H104" s="1"/>
      <c r="I104" s="1"/>
      <c r="J104" s="1"/>
      <c r="K104" s="1"/>
      <c r="L104" s="1"/>
      <c r="U104" s="40">
        <f>+'FFA &amp; Spot Rates'!E$6*(1+U$116)+U$115</f>
        <v>33625</v>
      </c>
      <c r="V104" s="40">
        <f>+'FFA &amp; Spot Rates'!F$6/3*(1+$V$116)+$V$115/3</f>
        <v>7222.9166666666661</v>
      </c>
      <c r="W104" s="34"/>
      <c r="X104" s="34"/>
      <c r="Y104" s="34"/>
      <c r="Z104" s="34"/>
      <c r="AA104" s="34"/>
      <c r="AB104" s="34"/>
      <c r="AC104" s="34"/>
      <c r="AI104" s="21"/>
      <c r="AJ104" s="21"/>
    </row>
    <row r="105" spans="3:36" s="20" customFormat="1" x14ac:dyDescent="0.2">
      <c r="C105" s="17"/>
      <c r="D105" s="17"/>
      <c r="E105" s="17"/>
      <c r="F105" s="17"/>
      <c r="G105" s="1"/>
      <c r="H105" s="1"/>
      <c r="I105" s="1"/>
      <c r="J105" s="1"/>
      <c r="K105" s="1"/>
      <c r="L105" s="1"/>
      <c r="U105" s="1"/>
      <c r="V105" s="1"/>
      <c r="W105" s="1"/>
      <c r="X105" s="1"/>
      <c r="Y105" s="1"/>
      <c r="Z105" s="1"/>
      <c r="AI105" s="21"/>
      <c r="AJ105" s="21"/>
    </row>
    <row r="106" spans="3:36" s="20" customFormat="1" x14ac:dyDescent="0.2">
      <c r="C106" s="17" t="s">
        <v>718</v>
      </c>
      <c r="D106" s="17"/>
      <c r="E106" s="17"/>
      <c r="F106" s="17"/>
      <c r="G106" s="1"/>
      <c r="H106" s="1"/>
      <c r="I106" s="1"/>
      <c r="J106" s="1"/>
      <c r="K106" s="1"/>
      <c r="L106" s="1"/>
      <c r="U106" s="145">
        <v>1</v>
      </c>
      <c r="V106" s="145">
        <v>1</v>
      </c>
      <c r="W106" s="145">
        <v>1</v>
      </c>
      <c r="X106" s="145">
        <v>1</v>
      </c>
      <c r="Y106" s="34"/>
      <c r="Z106" s="145">
        <v>1</v>
      </c>
      <c r="AA106" s="145">
        <v>1</v>
      </c>
      <c r="AB106" s="145">
        <v>1</v>
      </c>
      <c r="AC106" s="145">
        <v>1</v>
      </c>
      <c r="AI106" s="21"/>
      <c r="AJ106" s="21"/>
    </row>
    <row r="107" spans="3:36" s="20" customFormat="1" x14ac:dyDescent="0.2">
      <c r="C107" s="17" t="s">
        <v>755</v>
      </c>
      <c r="D107" s="17"/>
      <c r="E107" s="17"/>
      <c r="F107" s="17"/>
      <c r="G107" s="1"/>
      <c r="H107" s="1"/>
      <c r="I107" s="1"/>
      <c r="J107" s="1"/>
      <c r="K107" s="1"/>
      <c r="L107" s="1"/>
      <c r="U107" s="40">
        <v>90</v>
      </c>
      <c r="V107" s="40">
        <v>90</v>
      </c>
      <c r="W107" s="40">
        <v>90</v>
      </c>
      <c r="X107" s="40">
        <v>90</v>
      </c>
      <c r="Z107" s="40">
        <v>90</v>
      </c>
      <c r="AA107" s="40">
        <v>90</v>
      </c>
      <c r="AB107" s="40">
        <v>90</v>
      </c>
      <c r="AC107" s="40">
        <v>90</v>
      </c>
      <c r="AI107" s="21"/>
      <c r="AJ107" s="21"/>
    </row>
    <row r="108" spans="3:36" s="20" customFormat="1" x14ac:dyDescent="0.2">
      <c r="C108" s="17"/>
      <c r="D108" s="17"/>
      <c r="E108" s="17"/>
      <c r="F108" s="17"/>
      <c r="G108" s="1"/>
      <c r="H108" s="1"/>
      <c r="I108" s="1"/>
      <c r="J108" s="1"/>
      <c r="K108" s="1"/>
      <c r="L108" s="1"/>
      <c r="U108" s="1"/>
      <c r="V108" s="1"/>
      <c r="W108" s="1"/>
      <c r="X108" s="1"/>
      <c r="Y108" s="1"/>
      <c r="Z108" s="1"/>
      <c r="AI108" s="21"/>
      <c r="AJ108" s="21"/>
    </row>
    <row r="109" spans="3:36" s="20" customFormat="1" x14ac:dyDescent="0.2">
      <c r="C109" s="17" t="s">
        <v>762</v>
      </c>
      <c r="D109" s="17"/>
      <c r="E109" s="17"/>
      <c r="F109" s="17"/>
      <c r="G109" s="1"/>
      <c r="H109" s="1"/>
      <c r="I109" s="1"/>
      <c r="J109" s="1"/>
      <c r="K109" s="1"/>
      <c r="L109" s="1"/>
      <c r="U109" s="146"/>
      <c r="V109" s="146"/>
      <c r="W109" s="146"/>
      <c r="X109" s="146"/>
      <c r="Z109" s="146"/>
      <c r="AA109" s="146"/>
      <c r="AB109" s="146"/>
      <c r="AC109" s="146"/>
      <c r="AI109" s="21"/>
      <c r="AJ109" s="21"/>
    </row>
    <row r="110" spans="3:36" s="20" customFormat="1" x14ac:dyDescent="0.2">
      <c r="C110" s="17" t="s">
        <v>80</v>
      </c>
      <c r="D110" s="17"/>
      <c r="E110" s="17"/>
      <c r="F110" s="17"/>
      <c r="G110" s="1"/>
      <c r="H110" s="1"/>
      <c r="I110" s="1"/>
      <c r="J110" s="1"/>
      <c r="K110" s="1"/>
      <c r="L110" s="1"/>
      <c r="U110" s="146"/>
      <c r="V110" s="146"/>
      <c r="W110" s="146"/>
      <c r="X110" s="146"/>
      <c r="Z110" s="146"/>
      <c r="AA110" s="146"/>
      <c r="AB110" s="146"/>
      <c r="AC110" s="146"/>
      <c r="AI110" s="21"/>
      <c r="AJ110" s="21"/>
    </row>
    <row r="111" spans="3:36" s="20" customFormat="1" x14ac:dyDescent="0.2">
      <c r="C111" s="17" t="s">
        <v>763</v>
      </c>
      <c r="D111" s="17"/>
      <c r="E111" s="17"/>
      <c r="F111" s="17"/>
      <c r="G111" s="1"/>
      <c r="H111" s="1"/>
      <c r="I111" s="1"/>
      <c r="J111" s="1"/>
      <c r="K111" s="1"/>
      <c r="L111" s="1"/>
      <c r="U111" s="146"/>
      <c r="V111" s="146"/>
      <c r="W111" s="146"/>
      <c r="X111" s="146"/>
      <c r="Z111" s="146"/>
      <c r="AA111" s="146"/>
      <c r="AB111" s="146"/>
      <c r="AC111" s="146"/>
      <c r="AI111" s="21"/>
      <c r="AJ111" s="21"/>
    </row>
    <row r="112" spans="3:36" s="20" customFormat="1" x14ac:dyDescent="0.2">
      <c r="C112" s="17" t="s">
        <v>764</v>
      </c>
      <c r="D112" s="17"/>
      <c r="E112" s="17"/>
      <c r="F112" s="17"/>
      <c r="G112" s="1"/>
      <c r="H112" s="1"/>
      <c r="I112" s="1"/>
      <c r="J112" s="1"/>
      <c r="K112" s="1"/>
      <c r="L112" s="1"/>
      <c r="U112" s="146"/>
      <c r="V112" s="146"/>
      <c r="W112" s="146"/>
      <c r="X112" s="146"/>
      <c r="Z112" s="146"/>
      <c r="AA112" s="146"/>
      <c r="AB112" s="146"/>
      <c r="AC112" s="146"/>
      <c r="AI112" s="21"/>
      <c r="AJ112" s="21"/>
    </row>
    <row r="113" spans="3:36" s="20" customFormat="1" x14ac:dyDescent="0.2">
      <c r="C113" s="17" t="s">
        <v>765</v>
      </c>
      <c r="D113" s="1"/>
      <c r="E113" s="1"/>
      <c r="F113" s="1"/>
      <c r="G113" s="1"/>
      <c r="H113" s="1"/>
      <c r="I113" s="1"/>
      <c r="J113" s="1"/>
      <c r="K113" s="1"/>
      <c r="L113" s="1"/>
      <c r="U113" s="146"/>
      <c r="V113" s="146"/>
      <c r="W113" s="146"/>
      <c r="X113" s="146"/>
      <c r="Z113" s="146"/>
      <c r="AA113" s="146"/>
      <c r="AB113" s="146"/>
      <c r="AC113" s="146"/>
      <c r="AI113" s="21"/>
      <c r="AJ113" s="21"/>
    </row>
    <row r="114" spans="3:36" s="20" customFormat="1" x14ac:dyDescent="0.2">
      <c r="C114" s="17"/>
      <c r="D114" s="1"/>
      <c r="E114" s="1"/>
      <c r="F114" s="1"/>
      <c r="G114" s="1"/>
      <c r="H114" s="1"/>
      <c r="I114" s="1"/>
      <c r="J114" s="1"/>
      <c r="K114" s="1"/>
      <c r="L114" s="1"/>
      <c r="M114" s="1"/>
      <c r="N114" s="1"/>
      <c r="O114" s="1"/>
      <c r="P114" s="1"/>
      <c r="Q114" s="1"/>
      <c r="R114" s="1"/>
      <c r="AI114" s="21"/>
      <c r="AJ114" s="21"/>
    </row>
    <row r="115" spans="3:36" s="20" customFormat="1" x14ac:dyDescent="0.2">
      <c r="C115" s="17" t="s">
        <v>795</v>
      </c>
      <c r="D115" s="1"/>
      <c r="E115" s="1"/>
      <c r="F115" s="1"/>
      <c r="G115" s="1"/>
      <c r="H115" s="1"/>
      <c r="I115" s="1"/>
      <c r="J115" s="1"/>
      <c r="K115" s="1"/>
      <c r="L115" s="1"/>
      <c r="M115" s="1"/>
      <c r="N115" s="1"/>
      <c r="O115" s="1"/>
      <c r="P115" s="1"/>
      <c r="Q115" s="1"/>
      <c r="R115" s="1"/>
      <c r="U115" s="146">
        <v>3000</v>
      </c>
      <c r="V115" s="146">
        <v>3000</v>
      </c>
      <c r="W115" s="146">
        <v>3000</v>
      </c>
      <c r="X115" s="146">
        <v>3000</v>
      </c>
      <c r="Z115" s="146">
        <v>2000</v>
      </c>
      <c r="AA115" s="146">
        <v>2000</v>
      </c>
      <c r="AB115" s="146">
        <v>2000</v>
      </c>
      <c r="AC115" s="146">
        <v>2000</v>
      </c>
      <c r="AI115" s="21"/>
      <c r="AJ115" s="21"/>
    </row>
    <row r="116" spans="3:36" s="20" customFormat="1" x14ac:dyDescent="0.2">
      <c r="C116" s="17" t="s">
        <v>796</v>
      </c>
      <c r="D116" s="1"/>
      <c r="E116" s="1"/>
      <c r="F116" s="1"/>
      <c r="G116" s="1"/>
      <c r="H116" s="1"/>
      <c r="I116" s="1"/>
      <c r="J116" s="1"/>
      <c r="K116" s="1"/>
      <c r="L116" s="1"/>
      <c r="M116" s="1"/>
      <c r="N116" s="1"/>
      <c r="O116" s="1"/>
      <c r="P116" s="1"/>
      <c r="Q116" s="1"/>
      <c r="R116" s="1"/>
      <c r="U116" s="145">
        <v>0.25</v>
      </c>
      <c r="V116" s="145">
        <v>0.25</v>
      </c>
      <c r="W116" s="145">
        <v>0.25</v>
      </c>
      <c r="X116" s="145">
        <v>0.25</v>
      </c>
      <c r="Z116" s="145">
        <v>0.3</v>
      </c>
      <c r="AA116" s="145">
        <v>0.3</v>
      </c>
      <c r="AB116" s="145">
        <v>0.3</v>
      </c>
      <c r="AC116" s="145">
        <v>0.3</v>
      </c>
      <c r="AI116" s="21"/>
      <c r="AJ116" s="21"/>
    </row>
    <row r="117" spans="3:36" s="20" customFormat="1" x14ac:dyDescent="0.2">
      <c r="C117" s="17"/>
      <c r="D117" s="1"/>
      <c r="E117" s="1"/>
      <c r="F117" s="1"/>
      <c r="G117" s="1"/>
      <c r="H117" s="1"/>
      <c r="I117" s="1"/>
      <c r="J117" s="1"/>
      <c r="K117" s="1"/>
      <c r="L117" s="1"/>
      <c r="M117" s="1"/>
      <c r="N117" s="1"/>
      <c r="O117" s="1"/>
      <c r="P117" s="1"/>
      <c r="Q117" s="1"/>
      <c r="R117" s="1"/>
      <c r="AI117" s="21"/>
      <c r="AJ117" s="21"/>
    </row>
    <row r="118" spans="3:36" s="20" customFormat="1" x14ac:dyDescent="0.2">
      <c r="C118" s="127" t="s">
        <v>797</v>
      </c>
      <c r="D118" s="153"/>
      <c r="E118" s="1"/>
      <c r="F118" s="1"/>
      <c r="G118" s="1"/>
      <c r="H118" s="1"/>
      <c r="I118" s="1"/>
      <c r="J118" s="1"/>
      <c r="K118" s="1"/>
      <c r="L118" s="1"/>
      <c r="M118" s="1"/>
      <c r="N118" s="1"/>
      <c r="O118" s="1"/>
      <c r="P118" s="1"/>
      <c r="Q118" s="1"/>
      <c r="R118" s="1"/>
      <c r="AI118" s="21"/>
      <c r="AJ118" s="21"/>
    </row>
    <row r="119" spans="3:36" x14ac:dyDescent="0.2">
      <c r="C119" s="17" t="s">
        <v>798</v>
      </c>
      <c r="D119" s="152">
        <v>27100</v>
      </c>
    </row>
    <row r="120" spans="3:36" x14ac:dyDescent="0.2">
      <c r="C120" s="17" t="s">
        <v>799</v>
      </c>
      <c r="D120" s="152">
        <v>32100</v>
      </c>
    </row>
    <row r="121" spans="3:36" x14ac:dyDescent="0.2">
      <c r="C121" s="17" t="s">
        <v>800</v>
      </c>
      <c r="D121" s="152">
        <v>24100</v>
      </c>
    </row>
    <row r="122" spans="3:36" ht="5.0999999999999996" customHeight="1" x14ac:dyDescent="0.2"/>
    <row r="123" spans="3:36" x14ac:dyDescent="0.2">
      <c r="C123" s="17" t="s">
        <v>801</v>
      </c>
      <c r="D123" s="152">
        <v>3700</v>
      </c>
    </row>
    <row r="124" spans="3:36" x14ac:dyDescent="0.2">
      <c r="C124" s="17" t="s">
        <v>800</v>
      </c>
      <c r="D124" s="152">
        <v>2800</v>
      </c>
    </row>
    <row r="125" spans="3:36" ht="5.0999999999999996" customHeight="1" x14ac:dyDescent="0.2">
      <c r="D125" s="152"/>
    </row>
    <row r="126" spans="3:36" x14ac:dyDescent="0.2">
      <c r="C126" s="17" t="s">
        <v>802</v>
      </c>
      <c r="D126" s="154">
        <v>0.1</v>
      </c>
    </row>
    <row r="127" spans="3:36" x14ac:dyDescent="0.2">
      <c r="C127" s="17" t="s">
        <v>804</v>
      </c>
      <c r="D127" s="152">
        <v>20565</v>
      </c>
    </row>
    <row r="128" spans="3:36" x14ac:dyDescent="0.2">
      <c r="C128" s="17" t="s">
        <v>806</v>
      </c>
      <c r="D128" s="155">
        <f>+D119/D127-1</f>
        <v>0.31777291514709449</v>
      </c>
    </row>
    <row r="129" spans="3:4" ht="5.0999999999999996" customHeight="1" x14ac:dyDescent="0.2">
      <c r="D129" s="152"/>
    </row>
    <row r="130" spans="3:4" x14ac:dyDescent="0.2">
      <c r="C130" s="127" t="s">
        <v>803</v>
      </c>
      <c r="D130" s="153"/>
    </row>
    <row r="131" spans="3:4" x14ac:dyDescent="0.2">
      <c r="C131" s="17" t="s">
        <v>798</v>
      </c>
      <c r="D131" s="152">
        <v>27700</v>
      </c>
    </row>
    <row r="132" spans="3:4" x14ac:dyDescent="0.2">
      <c r="C132" s="17" t="s">
        <v>799</v>
      </c>
      <c r="D132" s="152">
        <v>31700</v>
      </c>
    </row>
    <row r="133" spans="3:4" x14ac:dyDescent="0.2">
      <c r="C133" s="17" t="s">
        <v>800</v>
      </c>
      <c r="D133" s="152">
        <v>25300</v>
      </c>
    </row>
    <row r="134" spans="3:4" ht="5.0999999999999996" customHeight="1" x14ac:dyDescent="0.2"/>
    <row r="135" spans="3:4" x14ac:dyDescent="0.2">
      <c r="C135" s="17" t="s">
        <v>801</v>
      </c>
      <c r="D135" s="152">
        <v>2900</v>
      </c>
    </row>
    <row r="136" spans="3:4" x14ac:dyDescent="0.2">
      <c r="C136" s="17" t="s">
        <v>800</v>
      </c>
      <c r="D136" s="152">
        <v>3900</v>
      </c>
    </row>
    <row r="137" spans="3:4" ht="5.0999999999999996" customHeight="1" x14ac:dyDescent="0.2">
      <c r="D137" s="152"/>
    </row>
    <row r="138" spans="3:4" x14ac:dyDescent="0.2">
      <c r="C138" s="17" t="s">
        <v>802</v>
      </c>
      <c r="D138" s="154">
        <v>0.1</v>
      </c>
    </row>
    <row r="139" spans="3:4" x14ac:dyDescent="0.2">
      <c r="C139" s="17" t="s">
        <v>804</v>
      </c>
      <c r="D139" s="152">
        <v>21557</v>
      </c>
    </row>
    <row r="140" spans="3:4" x14ac:dyDescent="0.2">
      <c r="C140" s="17" t="s">
        <v>806</v>
      </c>
      <c r="D140" s="155">
        <f>+D131/D139-1</f>
        <v>0.28496544046017536</v>
      </c>
    </row>
    <row r="141" spans="3:4" x14ac:dyDescent="0.2">
      <c r="C141" s="17" t="s">
        <v>807</v>
      </c>
      <c r="D141" s="152"/>
    </row>
    <row r="142" spans="3:4" x14ac:dyDescent="0.2">
      <c r="C142" s="127" t="s">
        <v>805</v>
      </c>
      <c r="D142" s="153"/>
    </row>
    <row r="143" spans="3:4" x14ac:dyDescent="0.2">
      <c r="C143" s="17" t="s">
        <v>798</v>
      </c>
      <c r="D143" s="152">
        <v>35000</v>
      </c>
    </row>
    <row r="144" spans="3:4" x14ac:dyDescent="0.2">
      <c r="C144" s="17" t="s">
        <v>799</v>
      </c>
      <c r="D144" s="152">
        <v>45000</v>
      </c>
    </row>
    <row r="145" spans="3:4" x14ac:dyDescent="0.2">
      <c r="C145" s="17" t="s">
        <v>800</v>
      </c>
      <c r="D145" s="152">
        <v>23800</v>
      </c>
    </row>
    <row r="147" spans="3:4" x14ac:dyDescent="0.2">
      <c r="C147" s="17" t="s">
        <v>801</v>
      </c>
      <c r="D147" s="152">
        <v>3600</v>
      </c>
    </row>
    <row r="148" spans="3:4" x14ac:dyDescent="0.2">
      <c r="C148" s="17" t="s">
        <v>800</v>
      </c>
      <c r="D148" s="152">
        <v>4400</v>
      </c>
    </row>
    <row r="149" spans="3:4" x14ac:dyDescent="0.2">
      <c r="D149" s="152"/>
    </row>
    <row r="150" spans="3:4" x14ac:dyDescent="0.2">
      <c r="C150" s="17" t="s">
        <v>802</v>
      </c>
      <c r="D150" s="154">
        <f>0.11+1.79</f>
        <v>1.9000000000000001</v>
      </c>
    </row>
    <row r="151" spans="3:4" x14ac:dyDescent="0.2">
      <c r="C151" s="17" t="s">
        <v>804</v>
      </c>
      <c r="D151" s="152">
        <v>31245</v>
      </c>
    </row>
    <row r="152" spans="3:4" x14ac:dyDescent="0.2">
      <c r="C152" s="17" t="s">
        <v>806</v>
      </c>
      <c r="D152" s="155">
        <f>+D143/D151-1</f>
        <v>0.12017922867658815</v>
      </c>
    </row>
  </sheetData>
  <mergeCells count="6">
    <mergeCell ref="Z3:AD3"/>
    <mergeCell ref="C3:C4"/>
    <mergeCell ref="F3:J3"/>
    <mergeCell ref="K3:O3"/>
    <mergeCell ref="P3:T3"/>
    <mergeCell ref="U3:Y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32B14-3688-4AD2-B45F-C357311C1A06}">
  <dimension ref="C3:AJ235"/>
  <sheetViews>
    <sheetView showGridLines="0" zoomScale="90" zoomScaleNormal="90" workbookViewId="0">
      <pane xSplit="3" ySplit="4" topLeftCell="D195" activePane="bottomRight" state="frozen"/>
      <selection pane="topRight" activeCell="D1" sqref="D1"/>
      <selection pane="bottomLeft" activeCell="A5" sqref="A5"/>
      <selection pane="bottomRight" activeCell="S225" sqref="S225"/>
    </sheetView>
  </sheetViews>
  <sheetFormatPr defaultColWidth="8.7109375" defaultRowHeight="12.75" x14ac:dyDescent="0.2"/>
  <cols>
    <col min="1" max="2" width="2.5703125" style="17" customWidth="1"/>
    <col min="3" max="3" width="45.28515625" style="17" bestFit="1" customWidth="1"/>
    <col min="4" max="18" width="8.5703125" style="20" customWidth="1"/>
    <col min="19" max="34" width="10.5703125" style="20" customWidth="1"/>
    <col min="35" max="36" width="8.7109375" style="21"/>
    <col min="37" max="16384" width="8.7109375" style="17"/>
  </cols>
  <sheetData>
    <row r="3" spans="3:30" ht="15" customHeight="1" thickBot="1" x14ac:dyDescent="0.25">
      <c r="C3" s="237" t="s">
        <v>96</v>
      </c>
      <c r="D3" s="234" t="s">
        <v>102</v>
      </c>
      <c r="E3" s="235"/>
      <c r="F3" s="235"/>
      <c r="G3" s="235"/>
      <c r="H3" s="236"/>
      <c r="I3" s="234" t="s">
        <v>103</v>
      </c>
      <c r="J3" s="235"/>
      <c r="K3" s="235"/>
      <c r="L3" s="235"/>
      <c r="M3" s="236"/>
      <c r="N3" s="234" t="s">
        <v>104</v>
      </c>
      <c r="O3" s="235"/>
      <c r="P3" s="235"/>
      <c r="Q3" s="235"/>
      <c r="R3" s="236"/>
      <c r="S3" s="234" t="s">
        <v>105</v>
      </c>
      <c r="T3" s="235"/>
      <c r="U3" s="235"/>
      <c r="V3" s="235"/>
      <c r="W3" s="236"/>
    </row>
    <row r="4" spans="3:30" ht="13.5" thickBot="1" x14ac:dyDescent="0.25">
      <c r="C4" s="236"/>
      <c r="D4" s="27">
        <v>44621</v>
      </c>
      <c r="E4" s="27">
        <v>44713</v>
      </c>
      <c r="F4" s="27">
        <v>44805</v>
      </c>
      <c r="G4" s="27">
        <v>44896</v>
      </c>
      <c r="H4" s="26" t="s">
        <v>97</v>
      </c>
      <c r="I4" s="27">
        <v>44986</v>
      </c>
      <c r="J4" s="27">
        <v>45078</v>
      </c>
      <c r="K4" s="27">
        <v>45170</v>
      </c>
      <c r="L4" s="27">
        <v>45261</v>
      </c>
      <c r="M4" s="26" t="s">
        <v>97</v>
      </c>
      <c r="N4" s="27">
        <v>45352</v>
      </c>
      <c r="O4" s="27">
        <v>45444</v>
      </c>
      <c r="P4" s="27">
        <v>45536</v>
      </c>
      <c r="Q4" s="27">
        <v>45627</v>
      </c>
      <c r="R4" s="26" t="s">
        <v>97</v>
      </c>
      <c r="S4" s="27">
        <v>45717</v>
      </c>
      <c r="T4" s="27">
        <v>45809</v>
      </c>
      <c r="U4" s="27">
        <v>45901</v>
      </c>
      <c r="V4" s="27">
        <v>45992</v>
      </c>
      <c r="W4" s="26" t="s">
        <v>97</v>
      </c>
    </row>
    <row r="5" spans="3:30" ht="5.0999999999999996" customHeight="1" x14ac:dyDescent="0.2">
      <c r="C5" s="28"/>
      <c r="D5" s="72"/>
      <c r="E5" s="72"/>
      <c r="F5" s="72"/>
      <c r="G5" s="72"/>
      <c r="H5" s="72"/>
      <c r="I5" s="72"/>
      <c r="J5" s="72"/>
      <c r="K5" s="72"/>
      <c r="L5" s="72"/>
      <c r="M5" s="72"/>
      <c r="N5" s="72"/>
      <c r="O5" s="72"/>
      <c r="P5" s="72"/>
    </row>
    <row r="6" spans="3:30" x14ac:dyDescent="0.2">
      <c r="C6" s="30" t="s">
        <v>98</v>
      </c>
      <c r="D6" s="73"/>
      <c r="E6" s="73"/>
      <c r="F6" s="73"/>
      <c r="G6" s="73"/>
      <c r="H6" s="73"/>
      <c r="I6" s="73"/>
      <c r="J6" s="73"/>
      <c r="K6" s="73"/>
      <c r="L6" s="73"/>
      <c r="M6" s="73"/>
      <c r="N6" s="73"/>
      <c r="O6" s="73"/>
      <c r="P6" s="73"/>
      <c r="Q6" s="73"/>
      <c r="R6" s="73"/>
      <c r="S6" s="31"/>
      <c r="T6" s="31"/>
      <c r="U6" s="31"/>
      <c r="V6" s="31"/>
      <c r="W6" s="31"/>
    </row>
    <row r="7" spans="3:30" x14ac:dyDescent="0.2">
      <c r="C7" s="17" t="s">
        <v>530</v>
      </c>
      <c r="D7" s="34">
        <v>161.84800000000001</v>
      </c>
      <c r="E7" s="34">
        <v>183.393</v>
      </c>
      <c r="F7" s="34">
        <v>125.776</v>
      </c>
      <c r="G7" s="34">
        <v>122.779</v>
      </c>
      <c r="H7" s="34">
        <v>593.79600000000005</v>
      </c>
      <c r="I7" s="34">
        <v>75.340999999999994</v>
      </c>
      <c r="J7" s="34">
        <v>106.352</v>
      </c>
      <c r="K7" s="34">
        <v>97.215000000000003</v>
      </c>
      <c r="L7" s="40"/>
      <c r="M7" s="40"/>
      <c r="N7" s="40"/>
      <c r="O7" s="40"/>
      <c r="P7" s="40"/>
      <c r="Q7" s="40"/>
      <c r="R7" s="40"/>
      <c r="S7" s="40"/>
      <c r="T7" s="40"/>
      <c r="U7" s="40"/>
      <c r="V7" s="40"/>
      <c r="W7" s="40"/>
    </row>
    <row r="8" spans="3:30" x14ac:dyDescent="0.2">
      <c r="C8" s="17" t="s">
        <v>531</v>
      </c>
      <c r="D8" s="34">
        <v>103.173</v>
      </c>
      <c r="E8" s="34">
        <v>132.98500000000001</v>
      </c>
      <c r="F8" s="34">
        <v>155.614</v>
      </c>
      <c r="G8" s="34">
        <v>126.626</v>
      </c>
      <c r="H8" s="34">
        <v>518.39800000000002</v>
      </c>
      <c r="I8" s="34">
        <v>120.08499999999999</v>
      </c>
      <c r="J8" s="34">
        <v>106.861</v>
      </c>
      <c r="K8" s="34">
        <v>123.932</v>
      </c>
      <c r="L8" s="40"/>
      <c r="M8" s="40"/>
      <c r="N8" s="40"/>
      <c r="O8" s="40"/>
      <c r="P8" s="40"/>
      <c r="Q8" s="40"/>
      <c r="R8" s="40"/>
      <c r="S8" s="40"/>
      <c r="T8" s="40"/>
      <c r="U8" s="40"/>
      <c r="V8" s="40"/>
      <c r="W8" s="40"/>
      <c r="X8" s="17"/>
      <c r="Y8" s="17"/>
      <c r="Z8" s="17"/>
      <c r="AA8" s="17"/>
      <c r="AB8" s="17"/>
      <c r="AC8" s="17"/>
      <c r="AD8" s="17"/>
    </row>
    <row r="9" spans="3:30" x14ac:dyDescent="0.2">
      <c r="C9" s="17" t="s">
        <v>532</v>
      </c>
      <c r="D9" s="34">
        <v>0.16300000000000001</v>
      </c>
      <c r="E9" s="34">
        <v>0.28699999999999998</v>
      </c>
      <c r="F9" s="34">
        <v>0.65900000000000003</v>
      </c>
      <c r="G9" s="34">
        <v>0.153</v>
      </c>
      <c r="H9" s="34">
        <v>1.262</v>
      </c>
      <c r="I9" s="34">
        <v>1.091</v>
      </c>
      <c r="J9" s="34">
        <v>0.17</v>
      </c>
      <c r="K9" s="34">
        <v>0.51600000000000001</v>
      </c>
      <c r="L9" s="40"/>
      <c r="M9" s="40"/>
      <c r="N9" s="40"/>
      <c r="O9" s="40"/>
      <c r="P9" s="40"/>
      <c r="Q9" s="40"/>
      <c r="R9" s="40"/>
      <c r="S9" s="40"/>
      <c r="T9" s="40"/>
      <c r="U9" s="40"/>
      <c r="V9" s="40"/>
      <c r="W9" s="40"/>
      <c r="X9" s="17"/>
      <c r="Y9" s="17"/>
      <c r="Z9" s="17"/>
      <c r="AA9" s="17"/>
      <c r="AB9" s="17"/>
      <c r="AC9" s="17"/>
      <c r="AD9" s="17"/>
    </row>
    <row r="10" spans="3:30" x14ac:dyDescent="0.2">
      <c r="C10" s="17" t="s">
        <v>533</v>
      </c>
      <c r="D10" s="34">
        <v>-56.273000000000003</v>
      </c>
      <c r="E10" s="34">
        <v>-66.628</v>
      </c>
      <c r="F10" s="34">
        <v>-86.46</v>
      </c>
      <c r="G10" s="34">
        <v>-69.188999999999993</v>
      </c>
      <c r="H10" s="34">
        <v>-278.55</v>
      </c>
      <c r="I10" s="34">
        <v>-64.230999999999995</v>
      </c>
      <c r="J10" s="34">
        <v>-59.395000000000003</v>
      </c>
      <c r="K10" s="34">
        <v>-65.081999999999994</v>
      </c>
      <c r="L10" s="40"/>
      <c r="M10" s="40"/>
      <c r="N10" s="40"/>
      <c r="O10" s="40"/>
      <c r="P10" s="40"/>
      <c r="Q10" s="40"/>
      <c r="R10" s="40"/>
      <c r="S10" s="40"/>
      <c r="T10" s="40"/>
      <c r="U10" s="40"/>
      <c r="V10" s="40"/>
      <c r="W10" s="40"/>
      <c r="X10" s="17"/>
      <c r="Y10" s="17"/>
      <c r="Z10" s="17"/>
      <c r="AA10" s="17"/>
      <c r="AB10" s="17"/>
      <c r="AC10" s="17"/>
      <c r="AD10" s="17"/>
    </row>
    <row r="11" spans="3:30" x14ac:dyDescent="0.2">
      <c r="C11" s="32" t="s">
        <v>77</v>
      </c>
      <c r="D11" s="33">
        <f t="shared" ref="D11:W11" si="0">SUM(D7:D10)</f>
        <v>208.91100000000003</v>
      </c>
      <c r="E11" s="33">
        <f t="shared" si="0"/>
        <v>250.03700000000003</v>
      </c>
      <c r="F11" s="33">
        <f t="shared" si="0"/>
        <v>195.589</v>
      </c>
      <c r="G11" s="33">
        <f t="shared" si="0"/>
        <v>180.369</v>
      </c>
      <c r="H11" s="33">
        <f t="shared" si="0"/>
        <v>834.90599999999995</v>
      </c>
      <c r="I11" s="33">
        <f t="shared" si="0"/>
        <v>132.286</v>
      </c>
      <c r="J11" s="33">
        <f t="shared" si="0"/>
        <v>153.988</v>
      </c>
      <c r="K11" s="33">
        <f t="shared" si="0"/>
        <v>156.58099999999999</v>
      </c>
      <c r="L11" s="33">
        <f t="shared" si="0"/>
        <v>0</v>
      </c>
      <c r="M11" s="33">
        <f t="shared" si="0"/>
        <v>0</v>
      </c>
      <c r="N11" s="33">
        <f t="shared" si="0"/>
        <v>0</v>
      </c>
      <c r="O11" s="33">
        <f t="shared" si="0"/>
        <v>0</v>
      </c>
      <c r="P11" s="33">
        <f t="shared" si="0"/>
        <v>0</v>
      </c>
      <c r="Q11" s="33">
        <f t="shared" si="0"/>
        <v>0</v>
      </c>
      <c r="R11" s="33">
        <f t="shared" si="0"/>
        <v>0</v>
      </c>
      <c r="S11" s="33">
        <f t="shared" si="0"/>
        <v>0</v>
      </c>
      <c r="T11" s="33">
        <f t="shared" si="0"/>
        <v>0</v>
      </c>
      <c r="U11" s="33">
        <f t="shared" si="0"/>
        <v>0</v>
      </c>
      <c r="V11" s="33">
        <f t="shared" si="0"/>
        <v>0</v>
      </c>
      <c r="W11" s="33">
        <f t="shared" si="0"/>
        <v>0</v>
      </c>
      <c r="X11" s="17"/>
      <c r="Y11" s="17"/>
      <c r="Z11" s="17"/>
      <c r="AA11" s="17"/>
      <c r="AB11" s="17"/>
      <c r="AC11" s="17"/>
      <c r="AD11" s="17"/>
    </row>
    <row r="12" spans="3:30" ht="5.0999999999999996" customHeight="1" x14ac:dyDescent="0.2">
      <c r="C12" s="18"/>
      <c r="D12" s="35"/>
      <c r="E12" s="35"/>
      <c r="F12" s="35"/>
      <c r="G12" s="35"/>
      <c r="H12" s="35"/>
      <c r="I12" s="35"/>
      <c r="J12" s="35"/>
      <c r="K12" s="35"/>
      <c r="X12" s="17"/>
      <c r="Y12" s="17"/>
      <c r="Z12" s="17"/>
      <c r="AA12" s="17"/>
      <c r="AB12" s="17"/>
      <c r="AC12" s="17"/>
      <c r="AD12" s="17"/>
    </row>
    <row r="13" spans="3:30" x14ac:dyDescent="0.2">
      <c r="C13" s="17" t="s">
        <v>78</v>
      </c>
      <c r="D13" s="34">
        <v>-58.164999999999999</v>
      </c>
      <c r="E13" s="34">
        <v>-50.369</v>
      </c>
      <c r="F13" s="34">
        <v>-59.335999999999999</v>
      </c>
      <c r="G13" s="34">
        <v>-58.1</v>
      </c>
      <c r="H13" s="34">
        <v>-225.97</v>
      </c>
      <c r="I13" s="34">
        <v>-61.63</v>
      </c>
      <c r="J13" s="34">
        <v>-62.430999999999997</v>
      </c>
      <c r="K13" s="34">
        <v>-64.471999999999994</v>
      </c>
      <c r="L13" s="40"/>
      <c r="M13" s="40"/>
      <c r="N13" s="40"/>
      <c r="O13" s="40"/>
      <c r="P13" s="40"/>
      <c r="Q13" s="40"/>
      <c r="R13" s="40"/>
      <c r="S13" s="40"/>
      <c r="T13" s="40"/>
      <c r="U13" s="40"/>
      <c r="V13" s="40"/>
      <c r="W13" s="40"/>
      <c r="X13" s="17"/>
      <c r="Y13" s="17"/>
      <c r="Z13" s="17"/>
      <c r="AA13" s="17"/>
      <c r="AB13" s="17"/>
      <c r="AC13" s="17"/>
      <c r="AD13" s="17"/>
    </row>
    <row r="14" spans="3:30" x14ac:dyDescent="0.2">
      <c r="C14" s="17" t="s">
        <v>208</v>
      </c>
      <c r="D14" s="34">
        <v>-10.303000000000001</v>
      </c>
      <c r="E14" s="34">
        <v>-15.38</v>
      </c>
      <c r="F14" s="34">
        <v>-19.178999999999998</v>
      </c>
      <c r="G14" s="34">
        <v>-12.544</v>
      </c>
      <c r="H14" s="34">
        <v>-57.406000000000006</v>
      </c>
      <c r="I14" s="34">
        <v>-16.782</v>
      </c>
      <c r="J14" s="34">
        <v>-10.210000000000001</v>
      </c>
      <c r="K14" s="34">
        <v>-8.3390000000000004</v>
      </c>
      <c r="L14" s="40"/>
      <c r="M14" s="40"/>
      <c r="N14" s="40"/>
      <c r="O14" s="40"/>
      <c r="P14" s="40"/>
      <c r="Q14" s="40"/>
      <c r="R14" s="40"/>
      <c r="S14" s="40"/>
      <c r="T14" s="40"/>
      <c r="U14" s="40"/>
      <c r="V14" s="40"/>
      <c r="W14" s="40"/>
      <c r="X14" s="17"/>
      <c r="Y14" s="17"/>
      <c r="Z14" s="17"/>
      <c r="AA14" s="17"/>
      <c r="AB14" s="17"/>
      <c r="AC14" s="17"/>
      <c r="AD14" s="17"/>
    </row>
    <row r="15" spans="3:30" x14ac:dyDescent="0.2">
      <c r="C15" s="17" t="s">
        <v>80</v>
      </c>
      <c r="D15" s="34">
        <v>-5.1269999999999998</v>
      </c>
      <c r="E15" s="34">
        <v>-5.4969999999999999</v>
      </c>
      <c r="F15" s="34">
        <v>-4.7869999999999999</v>
      </c>
      <c r="G15" s="34">
        <v>-4.9649999999999999</v>
      </c>
      <c r="H15" s="34">
        <v>-20.375999999999998</v>
      </c>
      <c r="I15" s="34">
        <v>-4.1619999999999999</v>
      </c>
      <c r="J15" s="34">
        <v>-5.1669999999999998</v>
      </c>
      <c r="K15" s="34">
        <v>-4.4409999999999998</v>
      </c>
      <c r="L15" s="40"/>
      <c r="M15" s="40"/>
      <c r="N15" s="40"/>
      <c r="O15" s="40"/>
      <c r="P15" s="40"/>
      <c r="Q15" s="40"/>
      <c r="R15" s="40"/>
      <c r="S15" s="40"/>
      <c r="T15" s="40"/>
      <c r="U15" s="40"/>
      <c r="V15" s="40"/>
      <c r="W15" s="40"/>
      <c r="X15" s="17"/>
      <c r="Y15" s="17"/>
      <c r="Z15" s="17"/>
      <c r="AA15" s="17"/>
      <c r="AB15" s="17"/>
      <c r="AC15" s="17"/>
      <c r="AD15" s="17"/>
    </row>
    <row r="16" spans="3:30" x14ac:dyDescent="0.2">
      <c r="C16" s="17" t="s">
        <v>81</v>
      </c>
      <c r="D16" s="34">
        <v>-0.41299999999999998</v>
      </c>
      <c r="E16" s="34">
        <v>9.516</v>
      </c>
      <c r="F16" s="34">
        <v>21.856000000000002</v>
      </c>
      <c r="G16" s="34">
        <v>0</v>
      </c>
      <c r="H16" s="34">
        <v>30.959</v>
      </c>
      <c r="I16" s="34">
        <v>0</v>
      </c>
      <c r="J16" s="34">
        <v>0</v>
      </c>
      <c r="K16" s="34">
        <v>0.83099999999999996</v>
      </c>
      <c r="L16" s="40"/>
      <c r="M16" s="40"/>
      <c r="N16" s="40"/>
      <c r="O16" s="40"/>
      <c r="P16" s="40"/>
      <c r="Q16" s="40"/>
      <c r="R16" s="40"/>
      <c r="S16" s="40"/>
      <c r="T16" s="40"/>
      <c r="U16" s="40"/>
      <c r="V16" s="40"/>
      <c r="W16" s="40"/>
      <c r="X16" s="17"/>
      <c r="Y16" s="17"/>
      <c r="Z16" s="17"/>
      <c r="AA16" s="17"/>
      <c r="AB16" s="17"/>
      <c r="AC16" s="17"/>
      <c r="AD16" s="17"/>
    </row>
    <row r="17" spans="3:36" x14ac:dyDescent="0.2">
      <c r="C17" s="32" t="s">
        <v>82</v>
      </c>
      <c r="D17" s="33">
        <f t="shared" ref="D17:W17" si="1">+SUM(D13:D16,D11)</f>
        <v>134.90300000000002</v>
      </c>
      <c r="E17" s="33">
        <f t="shared" si="1"/>
        <v>188.30700000000004</v>
      </c>
      <c r="F17" s="33">
        <f t="shared" si="1"/>
        <v>134.143</v>
      </c>
      <c r="G17" s="33">
        <f t="shared" si="1"/>
        <v>104.75999999999999</v>
      </c>
      <c r="H17" s="33">
        <f t="shared" si="1"/>
        <v>562.11300000000006</v>
      </c>
      <c r="I17" s="33">
        <f t="shared" si="1"/>
        <v>49.711999999999989</v>
      </c>
      <c r="J17" s="33">
        <f t="shared" si="1"/>
        <v>76.180000000000007</v>
      </c>
      <c r="K17" s="33">
        <f t="shared" si="1"/>
        <v>80.16</v>
      </c>
      <c r="L17" s="33">
        <f t="shared" si="1"/>
        <v>0</v>
      </c>
      <c r="M17" s="33">
        <f t="shared" si="1"/>
        <v>0</v>
      </c>
      <c r="N17" s="33">
        <f t="shared" si="1"/>
        <v>0</v>
      </c>
      <c r="O17" s="33">
        <f t="shared" si="1"/>
        <v>0</v>
      </c>
      <c r="P17" s="33">
        <f t="shared" si="1"/>
        <v>0</v>
      </c>
      <c r="Q17" s="33">
        <f t="shared" si="1"/>
        <v>0</v>
      </c>
      <c r="R17" s="33">
        <f t="shared" si="1"/>
        <v>0</v>
      </c>
      <c r="S17" s="33">
        <f t="shared" si="1"/>
        <v>0</v>
      </c>
      <c r="T17" s="33">
        <f t="shared" si="1"/>
        <v>0</v>
      </c>
      <c r="U17" s="33">
        <f t="shared" si="1"/>
        <v>0</v>
      </c>
      <c r="V17" s="33">
        <f t="shared" si="1"/>
        <v>0</v>
      </c>
      <c r="W17" s="33">
        <f t="shared" si="1"/>
        <v>0</v>
      </c>
      <c r="X17" s="17"/>
      <c r="Y17" s="17"/>
      <c r="Z17" s="17"/>
      <c r="AA17" s="17"/>
      <c r="AB17" s="17"/>
      <c r="AC17" s="17"/>
      <c r="AD17" s="17"/>
    </row>
    <row r="18" spans="3:36" ht="5.0999999999999996" customHeight="1" x14ac:dyDescent="0.2">
      <c r="C18" s="18"/>
      <c r="D18" s="35"/>
      <c r="E18" s="35"/>
      <c r="F18" s="35"/>
      <c r="G18" s="35"/>
      <c r="H18" s="35"/>
      <c r="I18" s="35"/>
      <c r="J18" s="35"/>
      <c r="K18" s="35"/>
      <c r="X18" s="17"/>
      <c r="Y18" s="17"/>
      <c r="Z18" s="17"/>
      <c r="AA18" s="17"/>
      <c r="AB18" s="17"/>
      <c r="AC18" s="17"/>
      <c r="AD18" s="17"/>
    </row>
    <row r="19" spans="3:36" s="19" customFormat="1" x14ac:dyDescent="0.2">
      <c r="C19" s="19" t="s">
        <v>83</v>
      </c>
      <c r="D19" s="36">
        <v>-32.433999999999997</v>
      </c>
      <c r="E19" s="36">
        <v>-32.533999999999999</v>
      </c>
      <c r="F19" s="36">
        <v>-32.476999999999997</v>
      </c>
      <c r="G19" s="36">
        <v>-32.393999999999998</v>
      </c>
      <c r="H19" s="36">
        <v>-129.839</v>
      </c>
      <c r="I19" s="36">
        <v>-31.497</v>
      </c>
      <c r="J19" s="36">
        <v>-32.590000000000003</v>
      </c>
      <c r="K19" s="36">
        <v>-35.271999999999998</v>
      </c>
      <c r="L19" s="40"/>
      <c r="M19" s="40"/>
      <c r="N19" s="40"/>
      <c r="O19" s="40"/>
      <c r="P19" s="40"/>
      <c r="Q19" s="40"/>
      <c r="R19" s="40"/>
      <c r="S19" s="40"/>
      <c r="T19" s="40"/>
      <c r="U19" s="40"/>
      <c r="V19" s="40"/>
      <c r="W19" s="40"/>
      <c r="AE19" s="22"/>
      <c r="AF19" s="22"/>
      <c r="AG19" s="22"/>
      <c r="AH19" s="22"/>
      <c r="AI19" s="23"/>
      <c r="AJ19" s="23"/>
    </row>
    <row r="20" spans="3:36" x14ac:dyDescent="0.2">
      <c r="C20" s="17" t="s">
        <v>534</v>
      </c>
      <c r="D20" s="34">
        <v>5.3999999999999999E-2</v>
      </c>
      <c r="E20" s="34">
        <v>0.24</v>
      </c>
      <c r="F20" s="34">
        <v>0.72499999999999998</v>
      </c>
      <c r="G20" s="34">
        <v>1.3260000000000001</v>
      </c>
      <c r="H20" s="34">
        <v>2.3450000000000002</v>
      </c>
      <c r="I20" s="34">
        <v>1.5149999999999999</v>
      </c>
      <c r="J20" s="34">
        <v>1.17</v>
      </c>
      <c r="K20" s="34">
        <v>0.74</v>
      </c>
      <c r="L20" s="40"/>
      <c r="M20" s="40"/>
      <c r="N20" s="40"/>
      <c r="O20" s="40"/>
      <c r="P20" s="40"/>
      <c r="Q20" s="40"/>
      <c r="R20" s="40"/>
      <c r="S20" s="40"/>
      <c r="T20" s="40"/>
      <c r="U20" s="40"/>
      <c r="V20" s="40"/>
      <c r="W20" s="40"/>
      <c r="X20" s="17"/>
      <c r="Y20" s="17"/>
      <c r="Z20" s="17"/>
      <c r="AA20" s="17"/>
      <c r="AB20" s="17"/>
      <c r="AC20" s="17"/>
      <c r="AD20" s="17"/>
    </row>
    <row r="21" spans="3:36" x14ac:dyDescent="0.2">
      <c r="C21" s="17" t="s">
        <v>535</v>
      </c>
      <c r="D21" s="34">
        <v>-10.041</v>
      </c>
      <c r="E21" s="34">
        <v>-12.113</v>
      </c>
      <c r="F21" s="34">
        <v>-15.131</v>
      </c>
      <c r="G21" s="34">
        <v>-18.963000000000001</v>
      </c>
      <c r="H21" s="34">
        <v>-56.248000000000005</v>
      </c>
      <c r="I21" s="34">
        <v>-22.013000000000002</v>
      </c>
      <c r="J21" s="34">
        <v>-24.184000000000001</v>
      </c>
      <c r="K21" s="34">
        <v>-28.803000000000001</v>
      </c>
      <c r="L21" s="40"/>
      <c r="M21" s="40"/>
      <c r="N21" s="40"/>
      <c r="O21" s="40"/>
      <c r="P21" s="40"/>
      <c r="Q21" s="40"/>
      <c r="R21" s="40"/>
      <c r="S21" s="40"/>
      <c r="T21" s="40"/>
      <c r="U21" s="40"/>
      <c r="V21" s="40"/>
      <c r="W21" s="40"/>
      <c r="X21" s="17"/>
      <c r="Y21" s="17"/>
      <c r="Z21" s="17"/>
      <c r="AA21" s="17"/>
      <c r="AB21" s="17"/>
      <c r="AC21" s="17"/>
      <c r="AD21" s="17"/>
    </row>
    <row r="22" spans="3:36" x14ac:dyDescent="0.2">
      <c r="C22" s="17" t="s">
        <v>536</v>
      </c>
      <c r="D22" s="34">
        <v>18.75</v>
      </c>
      <c r="E22" s="34">
        <v>7.1269999999999998</v>
      </c>
      <c r="F22" s="34">
        <v>11.391</v>
      </c>
      <c r="G22" s="34">
        <v>2.6989999999999998</v>
      </c>
      <c r="H22" s="34">
        <v>39.966999999999999</v>
      </c>
      <c r="I22" s="34">
        <v>-2.0830000000000002</v>
      </c>
      <c r="J22" s="34">
        <v>9.0449999999999999</v>
      </c>
      <c r="K22" s="34">
        <v>12.647</v>
      </c>
      <c r="L22" s="40"/>
      <c r="M22" s="40"/>
      <c r="N22" s="40"/>
      <c r="O22" s="40"/>
      <c r="P22" s="40"/>
      <c r="Q22" s="40"/>
      <c r="R22" s="40"/>
      <c r="S22" s="40"/>
      <c r="T22" s="40"/>
      <c r="U22" s="40"/>
      <c r="V22" s="40"/>
      <c r="W22" s="40"/>
      <c r="X22" s="17"/>
      <c r="Y22" s="17"/>
      <c r="Z22" s="17"/>
      <c r="AA22" s="17"/>
      <c r="AB22" s="17"/>
      <c r="AC22" s="17"/>
      <c r="AD22" s="17"/>
    </row>
    <row r="23" spans="3:36" x14ac:dyDescent="0.2">
      <c r="C23" s="17" t="s">
        <v>537</v>
      </c>
      <c r="D23" s="34">
        <v>14.454000000000001</v>
      </c>
      <c r="E23" s="34">
        <v>12.666</v>
      </c>
      <c r="F23" s="34">
        <v>5.9</v>
      </c>
      <c r="G23" s="34">
        <v>7.7729999999999997</v>
      </c>
      <c r="H23" s="34">
        <v>40.792999999999999</v>
      </c>
      <c r="I23" s="34">
        <v>4.9409999999999998</v>
      </c>
      <c r="J23" s="34">
        <v>4.9269999999999996</v>
      </c>
      <c r="K23" s="34">
        <v>-0.28199999999999997</v>
      </c>
      <c r="L23" s="40"/>
      <c r="M23" s="40"/>
      <c r="N23" s="40"/>
      <c r="O23" s="40"/>
      <c r="P23" s="40"/>
      <c r="Q23" s="40"/>
      <c r="R23" s="40"/>
      <c r="S23" s="40"/>
      <c r="T23" s="40"/>
      <c r="U23" s="40"/>
      <c r="V23" s="40"/>
      <c r="W23" s="40"/>
      <c r="X23" s="17"/>
      <c r="Y23" s="17"/>
      <c r="Z23" s="17"/>
      <c r="AA23" s="17"/>
      <c r="AB23" s="17"/>
      <c r="AC23" s="17"/>
      <c r="AD23" s="17"/>
    </row>
    <row r="24" spans="3:36" x14ac:dyDescent="0.2">
      <c r="C24" s="17" t="s">
        <v>538</v>
      </c>
      <c r="D24" s="34">
        <v>-0.32800000000000001</v>
      </c>
      <c r="E24" s="34">
        <v>8.5999999999999993E-2</v>
      </c>
      <c r="F24" s="34">
        <v>4.9000000000000002E-2</v>
      </c>
      <c r="G24" s="34">
        <v>3.2859999999999996</v>
      </c>
      <c r="H24" s="34">
        <v>3.0929999999999995</v>
      </c>
      <c r="I24" s="34">
        <v>-0.17</v>
      </c>
      <c r="J24" s="34">
        <v>0.372</v>
      </c>
      <c r="K24" s="34">
        <v>-0.42599999999999999</v>
      </c>
      <c r="L24" s="40"/>
      <c r="M24" s="40"/>
      <c r="N24" s="40"/>
      <c r="O24" s="40"/>
      <c r="P24" s="40"/>
      <c r="Q24" s="40"/>
      <c r="R24" s="40"/>
      <c r="S24" s="40"/>
      <c r="T24" s="40"/>
      <c r="U24" s="40"/>
      <c r="V24" s="40"/>
      <c r="W24" s="40"/>
      <c r="X24" s="17"/>
      <c r="Y24" s="17"/>
      <c r="Z24" s="17"/>
      <c r="AA24" s="17"/>
      <c r="AB24" s="17"/>
      <c r="AC24" s="17"/>
      <c r="AD24" s="17"/>
    </row>
    <row r="25" spans="3:36" x14ac:dyDescent="0.2">
      <c r="C25" s="17" t="s">
        <v>539</v>
      </c>
      <c r="D25" s="34"/>
      <c r="E25" s="34"/>
      <c r="F25" s="34"/>
      <c r="G25" s="34"/>
      <c r="H25" s="34"/>
      <c r="I25" s="34">
        <v>-9.1969999999999992</v>
      </c>
      <c r="J25" s="34">
        <v>0</v>
      </c>
      <c r="K25" s="34">
        <v>0</v>
      </c>
      <c r="L25" s="40"/>
      <c r="M25" s="40"/>
      <c r="N25" s="40"/>
      <c r="O25" s="40"/>
      <c r="P25" s="40"/>
      <c r="Q25" s="40"/>
      <c r="R25" s="40"/>
      <c r="S25" s="40"/>
      <c r="T25" s="40"/>
      <c r="U25" s="40"/>
      <c r="V25" s="40"/>
      <c r="W25" s="40"/>
      <c r="X25" s="17"/>
      <c r="Y25" s="17"/>
      <c r="Z25" s="17"/>
      <c r="AA25" s="17"/>
      <c r="AB25" s="17"/>
      <c r="AC25" s="17"/>
      <c r="AD25" s="17"/>
    </row>
    <row r="26" spans="3:36" x14ac:dyDescent="0.2">
      <c r="C26" s="17" t="s">
        <v>91</v>
      </c>
      <c r="D26" s="34">
        <v>-3.5000000000000003E-2</v>
      </c>
      <c r="E26" s="34">
        <v>-0.03</v>
      </c>
      <c r="F26" s="34">
        <v>-3.5000000000000003E-2</v>
      </c>
      <c r="G26" s="34">
        <v>-0.27900000000000003</v>
      </c>
      <c r="H26" s="34">
        <v>-0.37900000000000011</v>
      </c>
      <c r="I26" s="34">
        <v>-0.03</v>
      </c>
      <c r="J26" s="34">
        <v>-0.03</v>
      </c>
      <c r="K26" s="34">
        <v>-0.03</v>
      </c>
      <c r="L26" s="40"/>
      <c r="M26" s="40"/>
      <c r="N26" s="40"/>
      <c r="O26" s="40"/>
      <c r="P26" s="40"/>
      <c r="Q26" s="40"/>
      <c r="R26" s="40"/>
      <c r="S26" s="40"/>
      <c r="T26" s="40"/>
      <c r="U26" s="40"/>
      <c r="V26" s="40"/>
      <c r="W26" s="40"/>
      <c r="X26" s="17"/>
      <c r="Y26" s="17"/>
      <c r="Z26" s="17"/>
      <c r="AA26" s="17"/>
      <c r="AB26" s="17"/>
      <c r="AC26" s="17"/>
      <c r="AD26" s="17"/>
    </row>
    <row r="27" spans="3:36" x14ac:dyDescent="0.2">
      <c r="C27" s="32" t="s">
        <v>92</v>
      </c>
      <c r="D27" s="33">
        <f>+SUM(D17,D19:D26)</f>
        <v>125.32300000000004</v>
      </c>
      <c r="E27" s="33">
        <f>+SUM(E17,E19:E26)</f>
        <v>163.74900000000008</v>
      </c>
      <c r="F27" s="33">
        <f>+SUM(F17,F19:F26)</f>
        <v>104.56500000000001</v>
      </c>
      <c r="G27" s="33">
        <f>+SUM(G17,G19:G26)</f>
        <v>68.207999999999984</v>
      </c>
      <c r="H27" s="33">
        <v>461.84699999999998</v>
      </c>
      <c r="I27" s="33">
        <f t="shared" ref="I27:W27" si="2">+SUM(I17,I19:I26)</f>
        <v>-8.8220000000000116</v>
      </c>
      <c r="J27" s="33">
        <f t="shared" si="2"/>
        <v>34.89</v>
      </c>
      <c r="K27" s="33">
        <f t="shared" si="2"/>
        <v>28.734000000000002</v>
      </c>
      <c r="L27" s="33">
        <f t="shared" si="2"/>
        <v>0</v>
      </c>
      <c r="M27" s="33">
        <f t="shared" si="2"/>
        <v>0</v>
      </c>
      <c r="N27" s="33">
        <f t="shared" si="2"/>
        <v>0</v>
      </c>
      <c r="O27" s="33">
        <f t="shared" si="2"/>
        <v>0</v>
      </c>
      <c r="P27" s="33">
        <f t="shared" si="2"/>
        <v>0</v>
      </c>
      <c r="Q27" s="33">
        <f t="shared" si="2"/>
        <v>0</v>
      </c>
      <c r="R27" s="33">
        <f t="shared" si="2"/>
        <v>0</v>
      </c>
      <c r="S27" s="33">
        <f t="shared" si="2"/>
        <v>0</v>
      </c>
      <c r="T27" s="33">
        <f t="shared" si="2"/>
        <v>0</v>
      </c>
      <c r="U27" s="33">
        <f t="shared" si="2"/>
        <v>0</v>
      </c>
      <c r="V27" s="33">
        <f t="shared" si="2"/>
        <v>0</v>
      </c>
      <c r="W27" s="33">
        <f t="shared" si="2"/>
        <v>0</v>
      </c>
      <c r="X27" s="17"/>
      <c r="Y27" s="17"/>
      <c r="Z27" s="17"/>
      <c r="AA27" s="17"/>
      <c r="AB27" s="17"/>
      <c r="AC27" s="17"/>
      <c r="AD27" s="17"/>
    </row>
    <row r="28" spans="3:36" ht="5.0999999999999996" customHeight="1" x14ac:dyDescent="0.2">
      <c r="D28" s="37"/>
      <c r="E28" s="37"/>
      <c r="F28" s="37"/>
      <c r="G28" s="37"/>
      <c r="H28" s="37"/>
      <c r="I28" s="37"/>
      <c r="J28" s="37"/>
      <c r="K28" s="37"/>
      <c r="X28" s="17"/>
      <c r="Y28" s="17"/>
      <c r="Z28" s="17"/>
      <c r="AA28" s="17"/>
      <c r="AB28" s="17"/>
      <c r="AC28" s="17"/>
      <c r="AD28" s="17"/>
    </row>
    <row r="29" spans="3:36" x14ac:dyDescent="0.2">
      <c r="C29" s="17" t="s">
        <v>540</v>
      </c>
      <c r="D29" s="36">
        <v>32.433999999999997</v>
      </c>
      <c r="E29" s="36">
        <v>32.533999999999999</v>
      </c>
      <c r="F29" s="36">
        <v>32.476999999999997</v>
      </c>
      <c r="G29" s="36">
        <v>32.393999999999998</v>
      </c>
      <c r="H29" s="36">
        <v>129.839</v>
      </c>
      <c r="I29" s="36">
        <v>31.497</v>
      </c>
      <c r="J29" s="36">
        <v>32.590000000000003</v>
      </c>
      <c r="K29" s="36">
        <v>35.271999999999998</v>
      </c>
      <c r="L29" s="40"/>
      <c r="M29" s="40"/>
      <c r="N29" s="40"/>
      <c r="O29" s="40"/>
      <c r="P29" s="40"/>
      <c r="Q29" s="40"/>
      <c r="R29" s="40"/>
      <c r="S29" s="40"/>
      <c r="T29" s="40"/>
      <c r="U29" s="40"/>
      <c r="V29" s="40"/>
      <c r="W29" s="40"/>
      <c r="X29" s="17"/>
      <c r="Y29" s="17"/>
      <c r="Z29" s="17"/>
      <c r="AA29" s="17"/>
      <c r="AB29" s="17"/>
      <c r="AC29" s="17"/>
      <c r="AD29" s="17"/>
    </row>
    <row r="30" spans="3:36" ht="12.95" customHeight="1" x14ac:dyDescent="0.2">
      <c r="C30" s="17" t="s">
        <v>541</v>
      </c>
      <c r="D30" s="36">
        <v>0</v>
      </c>
      <c r="E30" s="36">
        <v>0</v>
      </c>
      <c r="F30" s="36">
        <v>0</v>
      </c>
      <c r="G30" s="36">
        <v>0</v>
      </c>
      <c r="H30" s="36">
        <v>3.6179999999999999</v>
      </c>
      <c r="I30" s="36">
        <v>0</v>
      </c>
      <c r="J30" s="36">
        <v>0</v>
      </c>
      <c r="K30" s="36">
        <v>0</v>
      </c>
      <c r="L30" s="40"/>
      <c r="M30" s="40"/>
      <c r="N30" s="40"/>
      <c r="O30" s="40"/>
      <c r="P30" s="40"/>
      <c r="Q30" s="40"/>
      <c r="R30" s="40"/>
      <c r="S30" s="40"/>
      <c r="T30" s="40"/>
      <c r="U30" s="40"/>
      <c r="V30" s="40"/>
      <c r="W30" s="40"/>
      <c r="X30" s="17"/>
      <c r="Y30" s="17"/>
      <c r="Z30" s="17"/>
      <c r="AA30" s="17"/>
      <c r="AB30" s="17"/>
      <c r="AC30" s="17"/>
      <c r="AD30" s="17"/>
    </row>
    <row r="31" spans="3:36" x14ac:dyDescent="0.2">
      <c r="C31" s="17" t="s">
        <v>542</v>
      </c>
      <c r="D31" s="36">
        <v>0</v>
      </c>
      <c r="E31" s="36">
        <v>-9.516</v>
      </c>
      <c r="F31" s="36">
        <v>0</v>
      </c>
      <c r="G31" s="36">
        <v>-2.8119999999999998</v>
      </c>
      <c r="H31" s="36">
        <v>-34.185000000000002</v>
      </c>
      <c r="I31" s="36">
        <v>0</v>
      </c>
      <c r="J31" s="36">
        <v>0</v>
      </c>
      <c r="K31" s="36">
        <v>-0.83099999999999996</v>
      </c>
      <c r="L31" s="40"/>
      <c r="M31" s="40"/>
      <c r="N31" s="40"/>
      <c r="O31" s="40"/>
      <c r="P31" s="40"/>
      <c r="Q31" s="40"/>
      <c r="R31" s="40"/>
      <c r="S31" s="40"/>
      <c r="T31" s="40"/>
      <c r="U31" s="40"/>
      <c r="V31" s="40"/>
      <c r="W31" s="40"/>
      <c r="X31" s="17"/>
      <c r="Y31" s="17"/>
      <c r="Z31" s="17"/>
      <c r="AA31" s="17"/>
      <c r="AB31" s="17"/>
      <c r="AC31" s="17"/>
      <c r="AD31" s="17"/>
    </row>
    <row r="32" spans="3:36" x14ac:dyDescent="0.2">
      <c r="C32" s="17" t="s">
        <v>699</v>
      </c>
      <c r="D32" s="36">
        <v>0</v>
      </c>
      <c r="E32" s="36">
        <v>0</v>
      </c>
      <c r="F32" s="36">
        <v>0</v>
      </c>
      <c r="G32" s="36">
        <v>0</v>
      </c>
      <c r="H32" s="36">
        <v>0</v>
      </c>
      <c r="I32" s="36">
        <v>0</v>
      </c>
      <c r="J32" s="36">
        <v>-0.54500000000000004</v>
      </c>
      <c r="K32" s="36">
        <v>-0.44700000000000001</v>
      </c>
      <c r="L32" s="40"/>
      <c r="M32" s="40"/>
      <c r="N32" s="40"/>
      <c r="O32" s="40"/>
      <c r="P32" s="40"/>
      <c r="Q32" s="40"/>
      <c r="R32" s="40"/>
      <c r="S32" s="40"/>
      <c r="T32" s="40"/>
      <c r="U32" s="40"/>
      <c r="V32" s="40"/>
      <c r="W32" s="40"/>
      <c r="X32" s="17"/>
      <c r="Y32" s="17"/>
      <c r="Z32" s="17"/>
      <c r="AA32" s="17"/>
      <c r="AB32" s="17"/>
      <c r="AC32" s="17"/>
      <c r="AD32" s="17"/>
    </row>
    <row r="33" spans="3:30" x14ac:dyDescent="0.2">
      <c r="C33" s="17" t="s">
        <v>543</v>
      </c>
      <c r="D33" s="36">
        <v>0</v>
      </c>
      <c r="E33" s="36">
        <v>0</v>
      </c>
      <c r="F33" s="36">
        <v>-21.856000000000002</v>
      </c>
      <c r="G33" s="36">
        <v>0</v>
      </c>
      <c r="H33" s="36">
        <v>0</v>
      </c>
      <c r="I33" s="36">
        <v>9.1950000000000003</v>
      </c>
      <c r="J33" s="36">
        <v>0</v>
      </c>
      <c r="K33" s="36">
        <v>0</v>
      </c>
      <c r="L33" s="40"/>
      <c r="M33" s="40"/>
      <c r="N33" s="40"/>
      <c r="O33" s="40"/>
      <c r="P33" s="40"/>
      <c r="Q33" s="40"/>
      <c r="R33" s="40"/>
      <c r="S33" s="40"/>
      <c r="T33" s="40"/>
      <c r="U33" s="40"/>
      <c r="V33" s="40"/>
      <c r="W33" s="40"/>
      <c r="X33" s="17"/>
      <c r="Y33" s="17"/>
      <c r="Z33" s="17"/>
      <c r="AA33" s="17"/>
      <c r="AB33" s="17"/>
      <c r="AC33" s="17"/>
      <c r="AD33" s="17"/>
    </row>
    <row r="34" spans="3:30" x14ac:dyDescent="0.2">
      <c r="C34" s="17" t="s">
        <v>544</v>
      </c>
      <c r="D34" s="36">
        <v>0</v>
      </c>
      <c r="E34" s="36">
        <v>0</v>
      </c>
      <c r="F34" s="36">
        <v>0</v>
      </c>
      <c r="G34" s="36">
        <v>0</v>
      </c>
      <c r="H34" s="36">
        <v>0</v>
      </c>
      <c r="I34" s="36">
        <v>0</v>
      </c>
      <c r="J34" s="36">
        <v>0</v>
      </c>
      <c r="K34" s="36">
        <v>0</v>
      </c>
      <c r="L34" s="40"/>
      <c r="M34" s="40"/>
      <c r="N34" s="40"/>
      <c r="O34" s="40"/>
      <c r="P34" s="40"/>
      <c r="Q34" s="40"/>
      <c r="R34" s="40"/>
      <c r="S34" s="40"/>
      <c r="T34" s="40"/>
      <c r="U34" s="40"/>
      <c r="V34" s="40"/>
      <c r="W34" s="40"/>
      <c r="X34" s="17"/>
      <c r="Y34" s="17"/>
      <c r="Z34" s="17"/>
      <c r="AA34" s="17"/>
      <c r="AB34" s="17"/>
      <c r="AC34" s="17"/>
      <c r="AD34" s="17"/>
    </row>
    <row r="35" spans="3:30" x14ac:dyDescent="0.2">
      <c r="C35" s="17" t="s">
        <v>545</v>
      </c>
      <c r="D35" s="36">
        <v>0</v>
      </c>
      <c r="E35" s="36">
        <v>0</v>
      </c>
      <c r="F35" s="36">
        <v>0</v>
      </c>
      <c r="G35" s="36">
        <v>0</v>
      </c>
      <c r="H35" s="36">
        <v>0.56599999999999995</v>
      </c>
      <c r="I35" s="36">
        <v>0</v>
      </c>
      <c r="J35" s="36">
        <v>0</v>
      </c>
      <c r="K35" s="36">
        <v>0</v>
      </c>
      <c r="L35" s="40"/>
      <c r="M35" s="40"/>
      <c r="N35" s="40"/>
      <c r="O35" s="40"/>
      <c r="P35" s="40"/>
      <c r="Q35" s="40"/>
      <c r="R35" s="40"/>
      <c r="S35" s="40"/>
      <c r="T35" s="40"/>
      <c r="U35" s="40"/>
      <c r="V35" s="40"/>
      <c r="W35" s="40"/>
      <c r="X35" s="17"/>
      <c r="Y35" s="17"/>
      <c r="Z35" s="17"/>
      <c r="AA35" s="17"/>
      <c r="AB35" s="17"/>
      <c r="AC35" s="17"/>
      <c r="AD35" s="17"/>
    </row>
    <row r="36" spans="3:30" x14ac:dyDescent="0.2">
      <c r="C36" s="17" t="s">
        <v>546</v>
      </c>
      <c r="D36" s="36">
        <v>0</v>
      </c>
      <c r="E36" s="36">
        <v>0.94499999999999995</v>
      </c>
      <c r="F36" s="36">
        <v>6.6260000000000003</v>
      </c>
      <c r="G36" s="36">
        <v>2.15</v>
      </c>
      <c r="H36" s="36">
        <v>16.273</v>
      </c>
      <c r="I36" s="36">
        <v>15.268000000000001</v>
      </c>
      <c r="J36" s="36">
        <v>1.6</v>
      </c>
      <c r="K36" s="36">
        <v>0.625</v>
      </c>
      <c r="L36" s="40"/>
      <c r="M36" s="40"/>
      <c r="N36" s="40"/>
      <c r="O36" s="40"/>
      <c r="P36" s="40"/>
      <c r="Q36" s="40"/>
      <c r="R36" s="40"/>
      <c r="S36" s="40"/>
      <c r="T36" s="40"/>
      <c r="U36" s="40"/>
      <c r="V36" s="40"/>
      <c r="W36" s="40"/>
      <c r="X36" s="17"/>
      <c r="Y36" s="17"/>
      <c r="Z36" s="17"/>
      <c r="AA36" s="17"/>
      <c r="AB36" s="17"/>
      <c r="AC36" s="17"/>
      <c r="AD36" s="17"/>
    </row>
    <row r="37" spans="3:30" x14ac:dyDescent="0.2">
      <c r="C37" s="17" t="s">
        <v>547</v>
      </c>
      <c r="D37" s="36">
        <v>-7.902000000000001</v>
      </c>
      <c r="E37" s="36">
        <v>-12.666</v>
      </c>
      <c r="F37" s="36">
        <v>-5.9</v>
      </c>
      <c r="G37" s="36">
        <v>-7.7729999999999997</v>
      </c>
      <c r="H37" s="36">
        <v>-40.792999999999999</v>
      </c>
      <c r="I37" s="36">
        <v>-4.9409999999999998</v>
      </c>
      <c r="J37" s="36">
        <v>-4.9269999999999996</v>
      </c>
      <c r="K37" s="36">
        <v>0.28199999999999997</v>
      </c>
      <c r="L37" s="40"/>
      <c r="M37" s="40"/>
      <c r="N37" s="40"/>
      <c r="O37" s="40"/>
      <c r="P37" s="40"/>
      <c r="Q37" s="40"/>
      <c r="R37" s="40"/>
      <c r="S37" s="40"/>
      <c r="T37" s="40"/>
      <c r="U37" s="40"/>
      <c r="V37" s="40"/>
      <c r="W37" s="40"/>
      <c r="X37" s="17"/>
      <c r="Y37" s="17"/>
      <c r="Z37" s="17"/>
      <c r="AA37" s="17"/>
      <c r="AB37" s="17"/>
      <c r="AC37" s="17"/>
      <c r="AD37" s="17"/>
    </row>
    <row r="38" spans="3:30" x14ac:dyDescent="0.2">
      <c r="C38" s="17" t="s">
        <v>548</v>
      </c>
      <c r="D38" s="36">
        <v>0</v>
      </c>
      <c r="E38" s="36">
        <v>0</v>
      </c>
      <c r="F38" s="36">
        <v>0</v>
      </c>
      <c r="G38" s="36">
        <v>0</v>
      </c>
      <c r="H38" s="36">
        <v>0</v>
      </c>
      <c r="I38" s="36">
        <v>0</v>
      </c>
      <c r="J38" s="36">
        <v>0</v>
      </c>
      <c r="K38" s="36">
        <v>0</v>
      </c>
      <c r="L38" s="40"/>
      <c r="M38" s="40"/>
      <c r="N38" s="40"/>
      <c r="O38" s="40"/>
      <c r="P38" s="40"/>
      <c r="Q38" s="40"/>
      <c r="R38" s="40"/>
      <c r="S38" s="40"/>
      <c r="T38" s="40"/>
      <c r="U38" s="40"/>
      <c r="V38" s="40"/>
      <c r="W38" s="40"/>
      <c r="X38" s="17"/>
      <c r="Y38" s="17"/>
      <c r="Z38" s="17"/>
      <c r="AA38" s="17"/>
      <c r="AB38" s="17"/>
      <c r="AC38" s="17"/>
      <c r="AD38" s="17"/>
    </row>
    <row r="39" spans="3:30" x14ac:dyDescent="0.2">
      <c r="C39" s="17" t="s">
        <v>549</v>
      </c>
      <c r="D39" s="36">
        <v>0</v>
      </c>
      <c r="E39" s="36">
        <v>0</v>
      </c>
      <c r="F39" s="36">
        <v>0</v>
      </c>
      <c r="G39" s="36">
        <v>0</v>
      </c>
      <c r="H39" s="36">
        <v>0</v>
      </c>
      <c r="I39" s="36">
        <v>0</v>
      </c>
      <c r="J39" s="36">
        <v>0</v>
      </c>
      <c r="K39" s="36">
        <v>0</v>
      </c>
      <c r="L39" s="40"/>
      <c r="M39" s="40"/>
      <c r="N39" s="40"/>
      <c r="O39" s="40"/>
      <c r="P39" s="40"/>
      <c r="Q39" s="40"/>
      <c r="R39" s="40"/>
      <c r="S39" s="40"/>
      <c r="T39" s="40"/>
      <c r="U39" s="40"/>
      <c r="V39" s="40"/>
      <c r="W39" s="40"/>
      <c r="X39" s="17"/>
      <c r="Y39" s="17"/>
      <c r="Z39" s="17"/>
      <c r="AA39" s="17"/>
      <c r="AB39" s="17"/>
      <c r="AC39" s="17"/>
      <c r="AD39" s="17"/>
    </row>
    <row r="40" spans="3:30" x14ac:dyDescent="0.2">
      <c r="C40" s="17" t="s">
        <v>550</v>
      </c>
      <c r="D40" s="36">
        <v>0</v>
      </c>
      <c r="E40" s="36">
        <v>0</v>
      </c>
      <c r="F40" s="36">
        <v>0</v>
      </c>
      <c r="G40" s="36">
        <v>0</v>
      </c>
      <c r="H40" s="36">
        <v>0</v>
      </c>
      <c r="I40" s="36">
        <v>0</v>
      </c>
      <c r="J40" s="36">
        <v>0</v>
      </c>
      <c r="K40" s="36">
        <v>0</v>
      </c>
      <c r="L40" s="40"/>
      <c r="M40" s="40"/>
      <c r="N40" s="40"/>
      <c r="O40" s="40"/>
      <c r="P40" s="40"/>
      <c r="Q40" s="40"/>
      <c r="R40" s="40"/>
      <c r="S40" s="40"/>
      <c r="T40" s="40"/>
      <c r="U40" s="40"/>
      <c r="V40" s="40"/>
      <c r="W40" s="40"/>
      <c r="X40" s="17"/>
      <c r="Y40" s="17"/>
      <c r="Z40" s="17"/>
      <c r="AA40" s="17"/>
      <c r="AB40" s="17"/>
      <c r="AC40" s="17"/>
      <c r="AD40" s="17"/>
    </row>
    <row r="41" spans="3:30" x14ac:dyDescent="0.2">
      <c r="C41" s="17" t="s">
        <v>551</v>
      </c>
      <c r="D41" s="36">
        <v>0</v>
      </c>
      <c r="E41" s="36">
        <v>0</v>
      </c>
      <c r="F41" s="36">
        <v>0</v>
      </c>
      <c r="G41" s="36">
        <v>0</v>
      </c>
      <c r="H41" s="36">
        <v>0</v>
      </c>
      <c r="I41" s="36">
        <v>0</v>
      </c>
      <c r="J41" s="36">
        <v>0</v>
      </c>
      <c r="K41" s="36">
        <v>0</v>
      </c>
      <c r="L41" s="40"/>
      <c r="M41" s="40"/>
      <c r="N41" s="40"/>
      <c r="O41" s="40"/>
      <c r="P41" s="40"/>
      <c r="Q41" s="40"/>
      <c r="R41" s="40"/>
      <c r="S41" s="40"/>
      <c r="T41" s="40"/>
      <c r="U41" s="40"/>
      <c r="V41" s="40"/>
      <c r="W41" s="40"/>
      <c r="X41" s="17"/>
      <c r="Y41" s="17"/>
      <c r="Z41" s="17"/>
      <c r="AA41" s="17"/>
      <c r="AB41" s="17"/>
      <c r="AC41" s="17"/>
      <c r="AD41" s="17"/>
    </row>
    <row r="42" spans="3:30" x14ac:dyDescent="0.2">
      <c r="C42" s="17" t="s">
        <v>552</v>
      </c>
      <c r="D42" s="36">
        <v>-18.93</v>
      </c>
      <c r="E42" s="36">
        <v>-7.5410000000000004</v>
      </c>
      <c r="F42" s="36">
        <v>-12.975</v>
      </c>
      <c r="G42" s="36">
        <v>-0.05</v>
      </c>
      <c r="H42" s="36">
        <v>-39.496000000000002</v>
      </c>
      <c r="I42" s="36">
        <v>5.7729999999999997</v>
      </c>
      <c r="J42" s="36">
        <v>-9.452</v>
      </c>
      <c r="K42" s="36">
        <v>-6.1210000000000004</v>
      </c>
      <c r="L42" s="40"/>
      <c r="M42" s="40"/>
      <c r="N42" s="40"/>
      <c r="O42" s="40"/>
      <c r="P42" s="40"/>
      <c r="Q42" s="40"/>
      <c r="R42" s="40"/>
      <c r="S42" s="40"/>
      <c r="T42" s="40"/>
      <c r="U42" s="40"/>
      <c r="V42" s="40"/>
      <c r="W42" s="40"/>
      <c r="X42" s="17"/>
      <c r="Y42" s="17"/>
      <c r="Z42" s="17"/>
      <c r="AA42" s="17"/>
      <c r="AB42" s="17"/>
      <c r="AC42" s="17"/>
      <c r="AD42" s="17"/>
    </row>
    <row r="43" spans="3:30" x14ac:dyDescent="0.2">
      <c r="C43" s="17" t="s">
        <v>553</v>
      </c>
      <c r="D43" s="36">
        <v>0</v>
      </c>
      <c r="E43" s="36">
        <v>0</v>
      </c>
      <c r="F43" s="36">
        <v>0</v>
      </c>
      <c r="G43" s="36">
        <v>0</v>
      </c>
      <c r="H43" s="36">
        <v>-0.503</v>
      </c>
      <c r="I43" s="36">
        <v>0</v>
      </c>
      <c r="J43" s="36">
        <v>0</v>
      </c>
      <c r="K43" s="36">
        <v>0</v>
      </c>
      <c r="L43" s="40"/>
      <c r="M43" s="40"/>
      <c r="N43" s="40"/>
      <c r="O43" s="40"/>
      <c r="P43" s="40"/>
      <c r="Q43" s="40"/>
      <c r="R43" s="40"/>
      <c r="S43" s="40"/>
      <c r="T43" s="40"/>
      <c r="U43" s="40"/>
      <c r="V43" s="40"/>
      <c r="W43" s="40"/>
      <c r="X43" s="17"/>
      <c r="Y43" s="17"/>
      <c r="Z43" s="17"/>
      <c r="AA43" s="17"/>
      <c r="AB43" s="17"/>
      <c r="AC43" s="17"/>
      <c r="AD43" s="17"/>
    </row>
    <row r="44" spans="3:30" x14ac:dyDescent="0.2">
      <c r="C44" s="17" t="s">
        <v>554</v>
      </c>
      <c r="D44" s="36">
        <v>0</v>
      </c>
      <c r="E44" s="36">
        <v>0</v>
      </c>
      <c r="F44" s="36">
        <v>0</v>
      </c>
      <c r="G44" s="36">
        <v>0</v>
      </c>
      <c r="H44" s="36">
        <v>0</v>
      </c>
      <c r="I44" s="36">
        <v>0</v>
      </c>
      <c r="J44" s="36">
        <v>0</v>
      </c>
      <c r="K44" s="36">
        <v>0</v>
      </c>
      <c r="L44" s="40"/>
      <c r="M44" s="40"/>
      <c r="N44" s="40"/>
      <c r="O44" s="40"/>
      <c r="P44" s="40"/>
      <c r="Q44" s="40"/>
      <c r="R44" s="40"/>
      <c r="S44" s="40"/>
      <c r="T44" s="40"/>
      <c r="U44" s="40"/>
      <c r="V44" s="40"/>
      <c r="W44" s="40"/>
      <c r="X44" s="17"/>
      <c r="Y44" s="17"/>
      <c r="Z44" s="17"/>
      <c r="AA44" s="17"/>
      <c r="AB44" s="17"/>
      <c r="AC44" s="17"/>
      <c r="AD44" s="17"/>
    </row>
    <row r="45" spans="3:30" x14ac:dyDescent="0.2">
      <c r="C45" s="17" t="s">
        <v>555</v>
      </c>
      <c r="D45" s="36">
        <v>0</v>
      </c>
      <c r="E45" s="36">
        <v>0</v>
      </c>
      <c r="F45" s="36">
        <v>0</v>
      </c>
      <c r="G45" s="36">
        <v>0</v>
      </c>
      <c r="H45" s="36">
        <v>-5.851</v>
      </c>
      <c r="I45" s="36">
        <v>0</v>
      </c>
      <c r="J45" s="36">
        <v>0</v>
      </c>
      <c r="K45" s="36">
        <v>0</v>
      </c>
      <c r="L45" s="40"/>
      <c r="M45" s="40"/>
      <c r="N45" s="40"/>
      <c r="O45" s="40"/>
      <c r="P45" s="40"/>
      <c r="Q45" s="40"/>
      <c r="R45" s="40"/>
      <c r="S45" s="40"/>
      <c r="T45" s="40"/>
      <c r="U45" s="40"/>
      <c r="V45" s="40"/>
      <c r="W45" s="40"/>
      <c r="X45" s="17"/>
      <c r="Y45" s="17"/>
      <c r="Z45" s="17"/>
      <c r="AA45" s="17"/>
      <c r="AB45" s="17"/>
      <c r="AC45" s="17"/>
      <c r="AD45" s="17"/>
    </row>
    <row r="46" spans="3:30" x14ac:dyDescent="0.2">
      <c r="C46" s="17" t="s">
        <v>81</v>
      </c>
      <c r="D46" s="36">
        <v>-1.032</v>
      </c>
      <c r="E46" s="36">
        <v>1.2709999999999999</v>
      </c>
      <c r="F46" s="36">
        <v>0.70699999999999996</v>
      </c>
      <c r="G46" s="36">
        <v>-3.633</v>
      </c>
      <c r="H46" s="36">
        <v>-0.51800000000000002</v>
      </c>
      <c r="I46" s="36">
        <v>1.9039999999999999</v>
      </c>
      <c r="J46" s="36">
        <v>0.252</v>
      </c>
      <c r="K46" s="36">
        <v>0.96</v>
      </c>
      <c r="L46" s="40"/>
      <c r="M46" s="40"/>
      <c r="N46" s="40"/>
      <c r="O46" s="40"/>
      <c r="P46" s="40"/>
      <c r="Q46" s="40"/>
      <c r="R46" s="40"/>
      <c r="S46" s="40"/>
      <c r="T46" s="40"/>
      <c r="U46" s="40"/>
      <c r="V46" s="40"/>
      <c r="W46" s="40"/>
      <c r="X46" s="17"/>
      <c r="Y46" s="17"/>
      <c r="Z46" s="17"/>
      <c r="AA46" s="17"/>
      <c r="AB46" s="17"/>
      <c r="AC46" s="17"/>
      <c r="AD46" s="17"/>
    </row>
    <row r="47" spans="3:30" x14ac:dyDescent="0.2">
      <c r="C47" s="17" t="s">
        <v>494</v>
      </c>
      <c r="D47" s="36">
        <v>-6.2690000000000001</v>
      </c>
      <c r="E47" s="36">
        <v>-13.3</v>
      </c>
      <c r="F47" s="36">
        <v>-4.9630000000000001</v>
      </c>
      <c r="G47" s="36">
        <v>37.121000000000002</v>
      </c>
      <c r="H47" s="36">
        <v>12.59</v>
      </c>
      <c r="I47" s="36">
        <v>26.643000000000001</v>
      </c>
      <c r="J47" s="36">
        <v>-8.859</v>
      </c>
      <c r="K47" s="36">
        <v>-11.076000000000001</v>
      </c>
      <c r="L47" s="40"/>
      <c r="M47" s="40"/>
      <c r="N47" s="40"/>
      <c r="O47" s="40"/>
      <c r="P47" s="40"/>
      <c r="Q47" s="40"/>
      <c r="R47" s="40"/>
      <c r="S47" s="40"/>
      <c r="T47" s="40"/>
      <c r="U47" s="40"/>
      <c r="V47" s="40"/>
      <c r="W47" s="40"/>
      <c r="X47" s="17"/>
      <c r="Y47" s="17"/>
      <c r="Z47" s="17"/>
      <c r="AA47" s="17"/>
      <c r="AB47" s="17"/>
      <c r="AC47" s="17"/>
      <c r="AD47" s="17"/>
    </row>
    <row r="48" spans="3:30" x14ac:dyDescent="0.2">
      <c r="C48" s="32" t="s">
        <v>139</v>
      </c>
      <c r="D48" s="33">
        <f t="shared" ref="D48:W48" si="3">SUM(D29:D47,D27)</f>
        <v>123.62400000000004</v>
      </c>
      <c r="E48" s="33">
        <f t="shared" si="3"/>
        <v>155.47600000000008</v>
      </c>
      <c r="F48" s="33">
        <f t="shared" si="3"/>
        <v>98.681000000000012</v>
      </c>
      <c r="G48" s="33">
        <f t="shared" si="3"/>
        <v>125.60499999999999</v>
      </c>
      <c r="H48" s="33">
        <f t="shared" si="3"/>
        <v>503.38699999999994</v>
      </c>
      <c r="I48" s="33">
        <f t="shared" si="3"/>
        <v>76.516999999999982</v>
      </c>
      <c r="J48" s="33">
        <f t="shared" si="3"/>
        <v>45.549000000000007</v>
      </c>
      <c r="K48" s="33">
        <f t="shared" si="3"/>
        <v>47.397999999999989</v>
      </c>
      <c r="L48" s="33">
        <f t="shared" si="3"/>
        <v>0</v>
      </c>
      <c r="M48" s="33">
        <f t="shared" si="3"/>
        <v>0</v>
      </c>
      <c r="N48" s="33">
        <f t="shared" si="3"/>
        <v>0</v>
      </c>
      <c r="O48" s="33">
        <f t="shared" si="3"/>
        <v>0</v>
      </c>
      <c r="P48" s="33">
        <f t="shared" si="3"/>
        <v>0</v>
      </c>
      <c r="Q48" s="33">
        <f t="shared" si="3"/>
        <v>0</v>
      </c>
      <c r="R48" s="33">
        <f t="shared" si="3"/>
        <v>0</v>
      </c>
      <c r="S48" s="33">
        <f t="shared" si="3"/>
        <v>0</v>
      </c>
      <c r="T48" s="33">
        <f t="shared" si="3"/>
        <v>0</v>
      </c>
      <c r="U48" s="33">
        <f t="shared" si="3"/>
        <v>0</v>
      </c>
      <c r="V48" s="33">
        <f t="shared" si="3"/>
        <v>0</v>
      </c>
      <c r="W48" s="33">
        <f t="shared" si="3"/>
        <v>0</v>
      </c>
      <c r="X48" s="17"/>
      <c r="Y48" s="17"/>
      <c r="Z48" s="17"/>
      <c r="AA48" s="17"/>
      <c r="AB48" s="17"/>
      <c r="AC48" s="17"/>
      <c r="AD48" s="17"/>
    </row>
    <row r="49" spans="3:30" ht="5.0999999999999996" customHeight="1" x14ac:dyDescent="0.2">
      <c r="D49" s="37"/>
      <c r="E49" s="37"/>
      <c r="F49" s="37"/>
      <c r="G49" s="37"/>
      <c r="H49" s="37"/>
      <c r="I49" s="37"/>
      <c r="J49" s="37"/>
      <c r="K49" s="37"/>
      <c r="X49" s="17"/>
      <c r="Y49" s="17"/>
      <c r="Z49" s="17"/>
      <c r="AA49" s="17"/>
      <c r="AB49" s="17"/>
      <c r="AC49" s="17"/>
      <c r="AD49" s="17"/>
    </row>
    <row r="50" spans="3:30" x14ac:dyDescent="0.2">
      <c r="C50" s="17" t="s">
        <v>546</v>
      </c>
      <c r="D50" s="36">
        <v>0</v>
      </c>
      <c r="E50" s="36">
        <v>0</v>
      </c>
      <c r="F50" s="36">
        <v>0</v>
      </c>
      <c r="G50" s="36">
        <v>0</v>
      </c>
      <c r="H50" s="36">
        <v>0</v>
      </c>
      <c r="I50" s="36">
        <v>0</v>
      </c>
      <c r="J50" s="36">
        <v>0</v>
      </c>
      <c r="K50" s="36">
        <v>0</v>
      </c>
      <c r="L50" s="40"/>
      <c r="M50" s="40"/>
      <c r="N50" s="40"/>
      <c r="O50" s="40"/>
      <c r="P50" s="40"/>
      <c r="Q50" s="40"/>
      <c r="R50" s="40"/>
      <c r="S50" s="40"/>
      <c r="T50" s="40"/>
      <c r="U50" s="40"/>
      <c r="V50" s="40"/>
      <c r="W50" s="40"/>
      <c r="X50" s="17"/>
      <c r="Y50" s="17"/>
      <c r="Z50" s="17"/>
      <c r="AA50" s="17"/>
      <c r="AB50" s="17"/>
      <c r="AC50" s="17"/>
      <c r="AD50" s="17"/>
    </row>
    <row r="51" spans="3:30" x14ac:dyDescent="0.2">
      <c r="C51" s="17" t="s">
        <v>556</v>
      </c>
      <c r="D51" s="36">
        <v>0</v>
      </c>
      <c r="E51" s="36">
        <v>0</v>
      </c>
      <c r="F51" s="36">
        <v>0</v>
      </c>
      <c r="G51" s="36">
        <v>0</v>
      </c>
      <c r="H51" s="36">
        <v>8.0000000000000002E-3</v>
      </c>
      <c r="I51" s="36">
        <v>0</v>
      </c>
      <c r="J51" s="36">
        <v>0</v>
      </c>
      <c r="K51" s="36">
        <v>0</v>
      </c>
      <c r="L51" s="40"/>
      <c r="M51" s="40"/>
      <c r="N51" s="40"/>
      <c r="O51" s="40"/>
      <c r="P51" s="40"/>
      <c r="Q51" s="40"/>
      <c r="R51" s="40"/>
      <c r="S51" s="40"/>
      <c r="T51" s="40"/>
      <c r="U51" s="40"/>
      <c r="V51" s="40"/>
      <c r="W51" s="40"/>
      <c r="X51" s="17"/>
      <c r="Y51" s="17"/>
      <c r="Z51" s="17"/>
      <c r="AA51" s="17"/>
      <c r="AB51" s="17"/>
      <c r="AC51" s="17"/>
      <c r="AD51" s="17"/>
    </row>
    <row r="52" spans="3:30" x14ac:dyDescent="0.2">
      <c r="C52" s="17" t="s">
        <v>557</v>
      </c>
      <c r="D52" s="36">
        <v>0</v>
      </c>
      <c r="E52" s="36">
        <v>0</v>
      </c>
      <c r="F52" s="36">
        <v>0</v>
      </c>
      <c r="G52" s="36">
        <v>0</v>
      </c>
      <c r="H52" s="36">
        <v>0</v>
      </c>
      <c r="I52" s="36">
        <v>0</v>
      </c>
      <c r="J52" s="36">
        <v>0</v>
      </c>
      <c r="K52" s="36">
        <v>0</v>
      </c>
      <c r="L52" s="40"/>
      <c r="M52" s="40"/>
      <c r="N52" s="40"/>
      <c r="O52" s="40"/>
      <c r="P52" s="40"/>
      <c r="Q52" s="40"/>
      <c r="R52" s="40"/>
      <c r="S52" s="40"/>
      <c r="T52" s="40"/>
      <c r="U52" s="40"/>
      <c r="V52" s="40"/>
      <c r="W52" s="40"/>
      <c r="X52" s="17"/>
      <c r="Y52" s="17"/>
      <c r="Z52" s="17"/>
      <c r="AA52" s="17"/>
      <c r="AB52" s="17"/>
      <c r="AC52" s="17"/>
      <c r="AD52" s="17"/>
    </row>
    <row r="53" spans="3:30" x14ac:dyDescent="0.2">
      <c r="C53" s="17" t="s">
        <v>558</v>
      </c>
      <c r="D53" s="36">
        <v>0</v>
      </c>
      <c r="E53" s="36">
        <v>0</v>
      </c>
      <c r="F53" s="36">
        <v>0</v>
      </c>
      <c r="G53" s="36">
        <v>0</v>
      </c>
      <c r="H53" s="36">
        <v>0</v>
      </c>
      <c r="I53" s="36">
        <v>0</v>
      </c>
      <c r="J53" s="36">
        <v>0</v>
      </c>
      <c r="K53" s="36">
        <v>0</v>
      </c>
      <c r="L53" s="40"/>
      <c r="M53" s="40"/>
      <c r="N53" s="40"/>
      <c r="O53" s="40"/>
      <c r="P53" s="40"/>
      <c r="Q53" s="40"/>
      <c r="R53" s="40"/>
      <c r="S53" s="40"/>
      <c r="T53" s="40"/>
      <c r="U53" s="40"/>
      <c r="V53" s="40"/>
      <c r="W53" s="40"/>
      <c r="X53" s="17"/>
      <c r="Y53" s="17"/>
      <c r="Z53" s="17"/>
      <c r="AA53" s="17"/>
      <c r="AB53" s="17"/>
      <c r="AC53" s="17"/>
      <c r="AD53" s="17"/>
    </row>
    <row r="54" spans="3:30" x14ac:dyDescent="0.2">
      <c r="C54" s="17" t="s">
        <v>559</v>
      </c>
      <c r="D54" s="36">
        <v>0</v>
      </c>
      <c r="E54" s="36">
        <v>0</v>
      </c>
      <c r="F54" s="36">
        <v>0</v>
      </c>
      <c r="G54" s="36">
        <v>0</v>
      </c>
      <c r="H54" s="36">
        <v>0.93700000000000006</v>
      </c>
      <c r="I54" s="36">
        <v>0</v>
      </c>
      <c r="J54" s="36">
        <v>0</v>
      </c>
      <c r="K54" s="36">
        <v>0</v>
      </c>
      <c r="L54" s="40"/>
      <c r="M54" s="40"/>
      <c r="N54" s="40"/>
      <c r="O54" s="40"/>
      <c r="P54" s="40"/>
      <c r="Q54" s="40"/>
      <c r="R54" s="40"/>
      <c r="S54" s="40"/>
      <c r="T54" s="40"/>
      <c r="U54" s="40"/>
      <c r="V54" s="40"/>
      <c r="W54" s="40"/>
      <c r="X54" s="17"/>
      <c r="Y54" s="17"/>
      <c r="Z54" s="17"/>
      <c r="AA54" s="17"/>
      <c r="AB54" s="17"/>
      <c r="AC54" s="17"/>
      <c r="AD54" s="17"/>
    </row>
    <row r="55" spans="3:30" x14ac:dyDescent="0.2">
      <c r="C55" s="17" t="s">
        <v>560</v>
      </c>
      <c r="D55" s="36">
        <v>0</v>
      </c>
      <c r="E55" s="36">
        <v>0</v>
      </c>
      <c r="F55" s="36">
        <v>0</v>
      </c>
      <c r="G55" s="36">
        <v>0</v>
      </c>
      <c r="H55" s="36">
        <v>0</v>
      </c>
      <c r="I55" s="36">
        <v>0</v>
      </c>
      <c r="J55" s="36">
        <v>0</v>
      </c>
      <c r="K55" s="36">
        <v>0</v>
      </c>
      <c r="L55" s="40"/>
      <c r="M55" s="40"/>
      <c r="N55" s="40"/>
      <c r="O55" s="40"/>
      <c r="P55" s="40"/>
      <c r="Q55" s="40"/>
      <c r="R55" s="40"/>
      <c r="S55" s="40"/>
      <c r="T55" s="40"/>
      <c r="U55" s="40"/>
      <c r="V55" s="40"/>
      <c r="W55" s="40"/>
      <c r="X55" s="17"/>
      <c r="Y55" s="17"/>
      <c r="Z55" s="17"/>
      <c r="AA55" s="17"/>
      <c r="AB55" s="17"/>
      <c r="AC55" s="17"/>
      <c r="AD55" s="17"/>
    </row>
    <row r="56" spans="3:30" x14ac:dyDescent="0.2">
      <c r="C56" s="17" t="s">
        <v>561</v>
      </c>
      <c r="D56" s="36">
        <v>0</v>
      </c>
      <c r="E56" s="36">
        <v>0</v>
      </c>
      <c r="F56" s="36">
        <v>0</v>
      </c>
      <c r="G56" s="36">
        <v>0</v>
      </c>
      <c r="H56" s="36">
        <v>5.35</v>
      </c>
      <c r="I56" s="36">
        <v>0.92500000000000004</v>
      </c>
      <c r="J56" s="36">
        <v>0</v>
      </c>
      <c r="K56" s="36">
        <v>0</v>
      </c>
      <c r="L56" s="40"/>
      <c r="M56" s="40"/>
      <c r="N56" s="40"/>
      <c r="O56" s="40"/>
      <c r="P56" s="40"/>
      <c r="Q56" s="40"/>
      <c r="R56" s="40"/>
      <c r="S56" s="40"/>
      <c r="T56" s="40"/>
      <c r="U56" s="40"/>
      <c r="V56" s="40"/>
      <c r="W56" s="40"/>
      <c r="X56" s="17"/>
      <c r="Y56" s="17"/>
      <c r="Z56" s="17"/>
      <c r="AA56" s="17"/>
      <c r="AB56" s="17"/>
      <c r="AC56" s="17"/>
      <c r="AD56" s="17"/>
    </row>
    <row r="57" spans="3:30" x14ac:dyDescent="0.2">
      <c r="C57" s="17" t="s">
        <v>562</v>
      </c>
      <c r="D57" s="36">
        <v>-1.3939999999999999</v>
      </c>
      <c r="E57" s="36">
        <v>-0.84799999999999998</v>
      </c>
      <c r="F57" s="36">
        <v>-1.2749999999999999</v>
      </c>
      <c r="G57" s="36">
        <v>-1.486</v>
      </c>
      <c r="H57" s="36">
        <v>0</v>
      </c>
      <c r="I57" s="36">
        <v>-123.864</v>
      </c>
      <c r="J57" s="36">
        <v>-130.14599999999999</v>
      </c>
      <c r="K57" s="36">
        <v>-45.268999999999998</v>
      </c>
      <c r="L57" s="40"/>
      <c r="M57" s="40"/>
      <c r="N57" s="40"/>
      <c r="O57" s="40"/>
      <c r="P57" s="40"/>
      <c r="Q57" s="40"/>
      <c r="R57" s="40"/>
      <c r="S57" s="40"/>
      <c r="T57" s="40"/>
      <c r="U57" s="40"/>
      <c r="V57" s="40"/>
      <c r="W57" s="40"/>
      <c r="X57" s="17"/>
      <c r="Y57" s="17"/>
      <c r="Z57" s="17"/>
      <c r="AA57" s="17"/>
      <c r="AB57" s="17"/>
      <c r="AC57" s="17"/>
      <c r="AD57" s="17"/>
    </row>
    <row r="58" spans="3:30" x14ac:dyDescent="0.2">
      <c r="C58" s="17" t="s">
        <v>563</v>
      </c>
      <c r="D58" s="36">
        <v>0</v>
      </c>
      <c r="E58" s="36">
        <v>-13.727</v>
      </c>
      <c r="F58" s="36">
        <v>-23.914999999999999</v>
      </c>
      <c r="G58" s="36">
        <v>-18.385999999999999</v>
      </c>
      <c r="H58" s="36">
        <v>-56.027999999999999</v>
      </c>
      <c r="I58" s="36">
        <v>-15.711</v>
      </c>
      <c r="J58" s="36">
        <v>-98.028000000000006</v>
      </c>
      <c r="K58" s="36">
        <v>-58.058999999999997</v>
      </c>
      <c r="L58" s="40"/>
      <c r="M58" s="40"/>
      <c r="N58" s="40"/>
      <c r="O58" s="40"/>
      <c r="P58" s="40"/>
      <c r="Q58" s="40"/>
      <c r="R58" s="40"/>
      <c r="S58" s="40"/>
      <c r="T58" s="40"/>
      <c r="U58" s="40"/>
      <c r="V58" s="40"/>
      <c r="W58" s="40"/>
      <c r="X58" s="17"/>
      <c r="Y58" s="17"/>
      <c r="Z58" s="17"/>
      <c r="AA58" s="17"/>
      <c r="AB58" s="17"/>
      <c r="AC58" s="17"/>
      <c r="AD58" s="17"/>
    </row>
    <row r="59" spans="3:30" x14ac:dyDescent="0.2">
      <c r="C59" s="17" t="s">
        <v>564</v>
      </c>
      <c r="D59" s="36">
        <v>0</v>
      </c>
      <c r="E59" s="36">
        <v>0</v>
      </c>
      <c r="F59" s="36">
        <v>0</v>
      </c>
      <c r="G59" s="36">
        <v>0</v>
      </c>
      <c r="H59" s="36">
        <v>-5.0030000000000001</v>
      </c>
      <c r="I59" s="36">
        <v>0</v>
      </c>
      <c r="J59" s="36">
        <v>0</v>
      </c>
      <c r="K59" s="36">
        <v>0</v>
      </c>
      <c r="L59" s="40"/>
      <c r="M59" s="40"/>
      <c r="N59" s="40"/>
      <c r="O59" s="40"/>
      <c r="P59" s="40"/>
      <c r="Q59" s="40"/>
      <c r="R59" s="40"/>
      <c r="S59" s="40"/>
      <c r="T59" s="40"/>
      <c r="U59" s="40"/>
      <c r="V59" s="40"/>
      <c r="W59" s="40"/>
      <c r="X59" s="17"/>
      <c r="Y59" s="17"/>
      <c r="Z59" s="17"/>
      <c r="AA59" s="17"/>
      <c r="AB59" s="17"/>
      <c r="AC59" s="17"/>
      <c r="AD59" s="17"/>
    </row>
    <row r="60" spans="3:30" x14ac:dyDescent="0.2">
      <c r="C60" s="17" t="s">
        <v>565</v>
      </c>
      <c r="D60" s="36">
        <v>0</v>
      </c>
      <c r="E60" s="36">
        <v>51.478999999999999</v>
      </c>
      <c r="F60" s="36">
        <v>61.74</v>
      </c>
      <c r="G60" s="36">
        <v>14.333</v>
      </c>
      <c r="H60" s="36">
        <v>127.55200000000001</v>
      </c>
      <c r="I60" s="36">
        <v>15.313000000000001</v>
      </c>
      <c r="J60" s="36">
        <v>43.56</v>
      </c>
      <c r="K60" s="36">
        <v>14.801</v>
      </c>
      <c r="L60" s="40"/>
      <c r="M60" s="40"/>
      <c r="N60" s="40"/>
      <c r="O60" s="40"/>
      <c r="P60" s="40"/>
      <c r="Q60" s="40"/>
      <c r="R60" s="40"/>
      <c r="S60" s="40"/>
      <c r="T60" s="40"/>
      <c r="U60" s="40"/>
      <c r="V60" s="40"/>
      <c r="W60" s="40"/>
      <c r="X60" s="17"/>
      <c r="Y60" s="17"/>
      <c r="Z60" s="17"/>
      <c r="AA60" s="17"/>
      <c r="AB60" s="17"/>
      <c r="AC60" s="17"/>
      <c r="AD60" s="17"/>
    </row>
    <row r="61" spans="3:30" x14ac:dyDescent="0.2">
      <c r="C61" s="17" t="s">
        <v>566</v>
      </c>
      <c r="D61" s="36">
        <v>0</v>
      </c>
      <c r="E61" s="36">
        <v>0</v>
      </c>
      <c r="F61" s="36">
        <v>0</v>
      </c>
      <c r="G61" s="36">
        <v>0</v>
      </c>
      <c r="H61" s="36">
        <v>0</v>
      </c>
      <c r="I61" s="36">
        <v>0</v>
      </c>
      <c r="J61" s="36">
        <v>0</v>
      </c>
      <c r="K61" s="36">
        <v>0</v>
      </c>
      <c r="L61" s="40"/>
      <c r="M61" s="40"/>
      <c r="N61" s="40"/>
      <c r="O61" s="40"/>
      <c r="P61" s="40"/>
      <c r="Q61" s="40"/>
      <c r="R61" s="40"/>
      <c r="S61" s="40"/>
      <c r="T61" s="40"/>
      <c r="U61" s="40"/>
      <c r="V61" s="40"/>
      <c r="W61" s="40"/>
      <c r="X61" s="17"/>
      <c r="Y61" s="17"/>
      <c r="Z61" s="17"/>
      <c r="AA61" s="17"/>
      <c r="AB61" s="17"/>
      <c r="AC61" s="17"/>
      <c r="AD61" s="17"/>
    </row>
    <row r="62" spans="3:30" x14ac:dyDescent="0.2">
      <c r="C62" s="17" t="s">
        <v>567</v>
      </c>
      <c r="D62" s="36">
        <v>5.3519999999999994</v>
      </c>
      <c r="E62" s="36">
        <v>0.93899999999999995</v>
      </c>
      <c r="F62" s="36">
        <v>2E-3</v>
      </c>
      <c r="G62" s="36">
        <v>2E-3</v>
      </c>
      <c r="H62" s="36">
        <v>0</v>
      </c>
      <c r="I62" s="36">
        <v>2E-3</v>
      </c>
      <c r="J62" s="36">
        <v>2E-3</v>
      </c>
      <c r="K62" s="36">
        <v>2E-3</v>
      </c>
      <c r="L62" s="40"/>
      <c r="M62" s="40"/>
      <c r="N62" s="40"/>
      <c r="O62" s="40"/>
      <c r="P62" s="40"/>
      <c r="Q62" s="40"/>
      <c r="R62" s="40"/>
      <c r="S62" s="40"/>
      <c r="T62" s="40"/>
      <c r="U62" s="40"/>
      <c r="V62" s="40"/>
      <c r="W62" s="40"/>
      <c r="X62" s="17"/>
      <c r="Y62" s="17"/>
      <c r="Z62" s="17"/>
      <c r="AA62" s="17"/>
      <c r="AB62" s="17"/>
      <c r="AC62" s="17"/>
      <c r="AD62" s="17"/>
    </row>
    <row r="63" spans="3:30" x14ac:dyDescent="0.2">
      <c r="C63" s="32" t="s">
        <v>138</v>
      </c>
      <c r="D63" s="33">
        <f t="shared" ref="D63:W63" si="4">+SUM(D50:D62)</f>
        <v>3.9579999999999993</v>
      </c>
      <c r="E63" s="33">
        <f t="shared" si="4"/>
        <v>37.842999999999996</v>
      </c>
      <c r="F63" s="33">
        <f t="shared" si="4"/>
        <v>36.552000000000007</v>
      </c>
      <c r="G63" s="33">
        <f t="shared" si="4"/>
        <v>-5.5369999999999999</v>
      </c>
      <c r="H63" s="33">
        <f t="shared" si="4"/>
        <v>72.816000000000003</v>
      </c>
      <c r="I63" s="33">
        <f t="shared" si="4"/>
        <v>-123.33500000000001</v>
      </c>
      <c r="J63" s="33">
        <f t="shared" si="4"/>
        <v>-184.61199999999997</v>
      </c>
      <c r="K63" s="33">
        <f t="shared" si="4"/>
        <v>-88.525000000000006</v>
      </c>
      <c r="L63" s="33">
        <f t="shared" si="4"/>
        <v>0</v>
      </c>
      <c r="M63" s="33">
        <f t="shared" si="4"/>
        <v>0</v>
      </c>
      <c r="N63" s="33">
        <f t="shared" si="4"/>
        <v>0</v>
      </c>
      <c r="O63" s="33">
        <f t="shared" si="4"/>
        <v>0</v>
      </c>
      <c r="P63" s="33">
        <f t="shared" si="4"/>
        <v>0</v>
      </c>
      <c r="Q63" s="33">
        <f t="shared" si="4"/>
        <v>0</v>
      </c>
      <c r="R63" s="33">
        <f t="shared" si="4"/>
        <v>0</v>
      </c>
      <c r="S63" s="33">
        <f t="shared" si="4"/>
        <v>0</v>
      </c>
      <c r="T63" s="33">
        <f t="shared" si="4"/>
        <v>0</v>
      </c>
      <c r="U63" s="33">
        <f t="shared" si="4"/>
        <v>0</v>
      </c>
      <c r="V63" s="33">
        <f t="shared" si="4"/>
        <v>0</v>
      </c>
      <c r="W63" s="33">
        <f t="shared" si="4"/>
        <v>0</v>
      </c>
      <c r="X63" s="17"/>
      <c r="Y63" s="17"/>
      <c r="Z63" s="17"/>
      <c r="AA63" s="17"/>
      <c r="AB63" s="17"/>
      <c r="AC63" s="17"/>
      <c r="AD63" s="17"/>
    </row>
    <row r="64" spans="3:30" ht="5.0999999999999996" customHeight="1" x14ac:dyDescent="0.2">
      <c r="D64" s="37"/>
      <c r="E64" s="37"/>
      <c r="F64" s="37"/>
      <c r="G64" s="37"/>
      <c r="H64" s="37"/>
      <c r="I64" s="37"/>
      <c r="J64" s="37"/>
      <c r="K64" s="37"/>
      <c r="X64" s="17"/>
      <c r="Y64" s="17"/>
      <c r="Z64" s="17"/>
      <c r="AA64" s="17"/>
      <c r="AB64" s="17"/>
      <c r="AC64" s="17"/>
      <c r="AD64" s="17"/>
    </row>
    <row r="65" spans="3:30" x14ac:dyDescent="0.2">
      <c r="C65" s="17" t="s">
        <v>568</v>
      </c>
      <c r="D65" s="36">
        <v>0</v>
      </c>
      <c r="E65" s="36">
        <v>275</v>
      </c>
      <c r="F65" s="36">
        <v>0</v>
      </c>
      <c r="G65" s="36">
        <v>0</v>
      </c>
      <c r="H65" s="36">
        <v>275</v>
      </c>
      <c r="I65" s="36">
        <v>330</v>
      </c>
      <c r="J65" s="36">
        <v>207.14</v>
      </c>
      <c r="K65" s="36">
        <v>97.44</v>
      </c>
      <c r="L65" s="40"/>
      <c r="M65" s="40"/>
      <c r="N65" s="40"/>
      <c r="O65" s="40"/>
      <c r="P65" s="40"/>
      <c r="Q65" s="40"/>
      <c r="R65" s="40"/>
      <c r="S65" s="40"/>
      <c r="T65" s="40"/>
      <c r="U65" s="40"/>
      <c r="V65" s="40"/>
      <c r="W65" s="40"/>
      <c r="X65" s="17"/>
      <c r="Y65" s="17"/>
      <c r="Z65" s="17"/>
      <c r="AA65" s="17"/>
      <c r="AB65" s="17"/>
      <c r="AC65" s="17"/>
      <c r="AD65" s="17"/>
    </row>
    <row r="66" spans="3:30" x14ac:dyDescent="0.2">
      <c r="C66" s="17" t="s">
        <v>569</v>
      </c>
      <c r="D66" s="36">
        <v>-33.229999999999997</v>
      </c>
      <c r="E66" s="36">
        <v>-305.41800000000001</v>
      </c>
      <c r="F66" s="36">
        <v>-43.985999999999997</v>
      </c>
      <c r="G66" s="36">
        <v>-34.582999999999998</v>
      </c>
      <c r="H66" s="36">
        <v>-417.21699999999998</v>
      </c>
      <c r="I66" s="36">
        <v>-247.54499999999999</v>
      </c>
      <c r="J66" s="36">
        <v>-49.96</v>
      </c>
      <c r="K66" s="36">
        <v>-35.581000000000003</v>
      </c>
      <c r="L66" s="40"/>
      <c r="M66" s="40"/>
      <c r="N66" s="40"/>
      <c r="O66" s="40"/>
      <c r="P66" s="40"/>
      <c r="Q66" s="40"/>
      <c r="R66" s="40"/>
      <c r="S66" s="40"/>
      <c r="T66" s="40"/>
      <c r="U66" s="40"/>
      <c r="V66" s="40"/>
      <c r="W66" s="40"/>
      <c r="X66" s="17"/>
      <c r="Y66" s="17"/>
      <c r="Z66" s="17"/>
      <c r="AA66" s="17"/>
      <c r="AB66" s="17"/>
      <c r="AC66" s="17"/>
      <c r="AD66" s="17"/>
    </row>
    <row r="67" spans="3:30" x14ac:dyDescent="0.2">
      <c r="C67" s="17" t="s">
        <v>570</v>
      </c>
      <c r="D67" s="36">
        <v>-8.2560000000000002</v>
      </c>
      <c r="E67" s="36">
        <v>-7.9359999999999999</v>
      </c>
      <c r="F67" s="36">
        <v>-6.782</v>
      </c>
      <c r="G67" s="36">
        <v>0</v>
      </c>
      <c r="H67" s="36">
        <v>-29.059000000000001</v>
      </c>
      <c r="I67" s="36">
        <v>-6.2859999999999996</v>
      </c>
      <c r="J67" s="36">
        <v>-6.1319999999999997</v>
      </c>
      <c r="K67" s="36">
        <v>-7.7640000000000002</v>
      </c>
      <c r="L67" s="40"/>
      <c r="M67" s="40"/>
      <c r="N67" s="40"/>
      <c r="O67" s="40"/>
      <c r="P67" s="40"/>
      <c r="Q67" s="40"/>
      <c r="R67" s="40"/>
      <c r="S67" s="40"/>
      <c r="T67" s="40"/>
      <c r="U67" s="40"/>
      <c r="V67" s="40"/>
      <c r="W67" s="40"/>
      <c r="X67" s="17"/>
      <c r="Y67" s="17"/>
      <c r="Z67" s="17"/>
      <c r="AA67" s="17"/>
      <c r="AB67" s="17"/>
      <c r="AC67" s="17"/>
      <c r="AD67" s="17"/>
    </row>
    <row r="68" spans="3:30" x14ac:dyDescent="0.2">
      <c r="C68" s="17" t="s">
        <v>571</v>
      </c>
      <c r="D68" s="36">
        <v>0</v>
      </c>
      <c r="E68" s="36">
        <v>-2.75</v>
      </c>
      <c r="F68" s="36">
        <v>0</v>
      </c>
      <c r="G68" s="36">
        <v>-6.0839999999999996</v>
      </c>
      <c r="H68" s="36">
        <v>-2.75</v>
      </c>
      <c r="I68" s="36">
        <v>-3.5920000000000001</v>
      </c>
      <c r="J68" s="36">
        <v>-0.92400000000000004</v>
      </c>
      <c r="K68" s="36">
        <v>-0.40100000000000002</v>
      </c>
      <c r="L68" s="40"/>
      <c r="M68" s="40"/>
      <c r="N68" s="40"/>
      <c r="O68" s="40"/>
      <c r="P68" s="40"/>
      <c r="Q68" s="40"/>
      <c r="R68" s="40"/>
      <c r="S68" s="40"/>
      <c r="T68" s="40"/>
      <c r="U68" s="40"/>
      <c r="V68" s="40"/>
      <c r="W68" s="40"/>
      <c r="X68" s="17"/>
      <c r="Y68" s="17"/>
      <c r="Z68" s="17"/>
      <c r="AA68" s="17"/>
      <c r="AB68" s="17"/>
      <c r="AC68" s="17"/>
      <c r="AD68" s="17"/>
    </row>
    <row r="69" spans="3:30" x14ac:dyDescent="0.2">
      <c r="C69" s="17" t="s">
        <v>572</v>
      </c>
      <c r="D69" s="36">
        <v>0</v>
      </c>
      <c r="E69" s="36">
        <v>0.82799999999999996</v>
      </c>
      <c r="F69" s="36">
        <v>0</v>
      </c>
      <c r="G69" s="36">
        <v>0</v>
      </c>
      <c r="H69" s="36">
        <v>0</v>
      </c>
      <c r="I69" s="36">
        <v>0</v>
      </c>
      <c r="J69" s="36">
        <v>0</v>
      </c>
      <c r="K69" s="36">
        <v>0.69199999999999995</v>
      </c>
      <c r="L69" s="40"/>
      <c r="M69" s="40"/>
      <c r="N69" s="40"/>
      <c r="O69" s="40"/>
      <c r="P69" s="40"/>
      <c r="Q69" s="40"/>
      <c r="R69" s="40"/>
      <c r="S69" s="40"/>
      <c r="T69" s="40"/>
      <c r="U69" s="40"/>
      <c r="V69" s="40"/>
      <c r="W69" s="40"/>
      <c r="X69" s="17"/>
      <c r="Y69" s="17"/>
      <c r="Z69" s="17"/>
      <c r="AA69" s="17"/>
      <c r="AB69" s="17"/>
      <c r="AC69" s="17"/>
      <c r="AD69" s="17"/>
    </row>
    <row r="70" spans="3:30" x14ac:dyDescent="0.2">
      <c r="C70" s="17" t="s">
        <v>573</v>
      </c>
      <c r="D70" s="36">
        <v>0</v>
      </c>
      <c r="E70" s="36">
        <v>0</v>
      </c>
      <c r="F70" s="36">
        <v>0</v>
      </c>
      <c r="G70" s="36">
        <v>-3.2730000000000001</v>
      </c>
      <c r="H70" s="36">
        <v>-3.2730000000000001</v>
      </c>
      <c r="I70" s="36">
        <v>-0.50900000000000001</v>
      </c>
      <c r="J70" s="36">
        <v>-6.9429999999999996</v>
      </c>
      <c r="K70" s="36">
        <v>-0.90400000000000003</v>
      </c>
      <c r="L70" s="40"/>
      <c r="M70" s="40"/>
      <c r="N70" s="40"/>
      <c r="O70" s="40"/>
      <c r="P70" s="40"/>
      <c r="Q70" s="40"/>
      <c r="R70" s="40"/>
      <c r="S70" s="40"/>
      <c r="T70" s="40"/>
      <c r="U70" s="40"/>
      <c r="V70" s="40"/>
      <c r="W70" s="40"/>
      <c r="X70" s="17"/>
      <c r="Y70" s="17"/>
      <c r="Z70" s="17"/>
      <c r="AA70" s="17"/>
      <c r="AB70" s="17"/>
      <c r="AC70" s="17"/>
      <c r="AD70" s="17"/>
    </row>
    <row r="71" spans="3:30" x14ac:dyDescent="0.2">
      <c r="C71" s="17" t="s">
        <v>574</v>
      </c>
      <c r="D71" s="36">
        <v>0</v>
      </c>
      <c r="E71" s="36">
        <v>0</v>
      </c>
      <c r="F71" s="36">
        <v>0</v>
      </c>
      <c r="G71" s="36">
        <v>0</v>
      </c>
      <c r="H71" s="36">
        <v>0.82799999999999996</v>
      </c>
      <c r="I71" s="36">
        <v>0</v>
      </c>
      <c r="J71" s="36">
        <v>0</v>
      </c>
      <c r="K71" s="36">
        <v>0</v>
      </c>
      <c r="L71" s="40"/>
      <c r="M71" s="40"/>
      <c r="N71" s="40"/>
      <c r="O71" s="40"/>
      <c r="P71" s="40"/>
      <c r="Q71" s="40"/>
      <c r="R71" s="40"/>
      <c r="S71" s="40"/>
      <c r="T71" s="40"/>
      <c r="U71" s="40"/>
      <c r="V71" s="40"/>
      <c r="W71" s="40"/>
      <c r="X71" s="17"/>
      <c r="Y71" s="17"/>
      <c r="Z71" s="17"/>
      <c r="AA71" s="17"/>
      <c r="AB71" s="17"/>
      <c r="AC71" s="17"/>
      <c r="AD71" s="17"/>
    </row>
    <row r="72" spans="3:30" x14ac:dyDescent="0.2">
      <c r="C72" s="17" t="s">
        <v>575</v>
      </c>
      <c r="D72" s="36">
        <v>0</v>
      </c>
      <c r="E72" s="36">
        <v>0</v>
      </c>
      <c r="F72" s="36">
        <v>0</v>
      </c>
      <c r="G72" s="36">
        <v>0</v>
      </c>
      <c r="H72" s="36">
        <v>0</v>
      </c>
      <c r="I72" s="36">
        <v>0</v>
      </c>
      <c r="J72" s="36">
        <v>0</v>
      </c>
      <c r="K72" s="36">
        <v>0</v>
      </c>
      <c r="L72" s="40"/>
      <c r="M72" s="40"/>
      <c r="N72" s="40"/>
      <c r="O72" s="40"/>
      <c r="P72" s="40"/>
      <c r="Q72" s="40"/>
      <c r="R72" s="40"/>
      <c r="S72" s="40"/>
      <c r="T72" s="40"/>
      <c r="U72" s="40"/>
      <c r="V72" s="40"/>
      <c r="W72" s="40"/>
      <c r="X72" s="17"/>
      <c r="Y72" s="17"/>
      <c r="Z72" s="17"/>
      <c r="AA72" s="17"/>
      <c r="AB72" s="17"/>
      <c r="AC72" s="17"/>
      <c r="AD72" s="17"/>
    </row>
    <row r="73" spans="3:30" x14ac:dyDescent="0.2">
      <c r="C73" s="17" t="s">
        <v>576</v>
      </c>
      <c r="D73" s="36">
        <v>-180.392</v>
      </c>
      <c r="E73" s="36">
        <v>-100.443</v>
      </c>
      <c r="F73" s="36">
        <v>-120.53100000000001</v>
      </c>
      <c r="G73" s="36">
        <v>-70.31</v>
      </c>
      <c r="H73" s="36">
        <v>-471.67599999999999</v>
      </c>
      <c r="I73" s="36">
        <v>-40.085000000000001</v>
      </c>
      <c r="J73" s="36">
        <v>-20.035</v>
      </c>
      <c r="K73" s="36">
        <v>-19.937999999999999</v>
      </c>
      <c r="L73" s="40"/>
      <c r="M73" s="40"/>
      <c r="N73" s="40"/>
      <c r="O73" s="40"/>
      <c r="P73" s="40"/>
      <c r="Q73" s="40"/>
      <c r="R73" s="40"/>
      <c r="S73" s="40"/>
      <c r="T73" s="40"/>
      <c r="U73" s="40"/>
      <c r="V73" s="40"/>
      <c r="W73" s="40"/>
      <c r="X73" s="17"/>
      <c r="Y73" s="17"/>
      <c r="Z73" s="17"/>
      <c r="AA73" s="17"/>
      <c r="AB73" s="17"/>
      <c r="AC73" s="17"/>
      <c r="AD73" s="17"/>
    </row>
    <row r="74" spans="3:30" x14ac:dyDescent="0.2">
      <c r="C74" s="32" t="s">
        <v>140</v>
      </c>
      <c r="D74" s="33">
        <f t="shared" ref="D74:W74" si="5">SUM(D65:D73)</f>
        <v>-221.87799999999999</v>
      </c>
      <c r="E74" s="33">
        <f t="shared" si="5"/>
        <v>-140.71899999999999</v>
      </c>
      <c r="F74" s="33">
        <f t="shared" si="5"/>
        <v>-171.29900000000001</v>
      </c>
      <c r="G74" s="33">
        <f t="shared" si="5"/>
        <v>-114.25</v>
      </c>
      <c r="H74" s="33">
        <f t="shared" si="5"/>
        <v>-648.14699999999993</v>
      </c>
      <c r="I74" s="33">
        <f t="shared" si="5"/>
        <v>31.983000000000011</v>
      </c>
      <c r="J74" s="33">
        <f t="shared" si="5"/>
        <v>123.14599999999996</v>
      </c>
      <c r="K74" s="33">
        <f t="shared" si="5"/>
        <v>33.543999999999983</v>
      </c>
      <c r="L74" s="33">
        <f t="shared" si="5"/>
        <v>0</v>
      </c>
      <c r="M74" s="33">
        <f t="shared" si="5"/>
        <v>0</v>
      </c>
      <c r="N74" s="33">
        <f t="shared" si="5"/>
        <v>0</v>
      </c>
      <c r="O74" s="33">
        <f t="shared" si="5"/>
        <v>0</v>
      </c>
      <c r="P74" s="33">
        <f t="shared" si="5"/>
        <v>0</v>
      </c>
      <c r="Q74" s="33">
        <f t="shared" si="5"/>
        <v>0</v>
      </c>
      <c r="R74" s="33">
        <f t="shared" si="5"/>
        <v>0</v>
      </c>
      <c r="S74" s="33">
        <f t="shared" si="5"/>
        <v>0</v>
      </c>
      <c r="T74" s="33">
        <f t="shared" si="5"/>
        <v>0</v>
      </c>
      <c r="U74" s="33">
        <f t="shared" si="5"/>
        <v>0</v>
      </c>
      <c r="V74" s="33">
        <f t="shared" si="5"/>
        <v>0</v>
      </c>
      <c r="W74" s="33">
        <f t="shared" si="5"/>
        <v>0</v>
      </c>
      <c r="X74" s="17"/>
      <c r="Y74" s="17"/>
      <c r="Z74" s="17"/>
      <c r="AA74" s="17"/>
      <c r="AB74" s="17"/>
      <c r="AC74" s="17"/>
      <c r="AD74" s="17"/>
    </row>
    <row r="75" spans="3:30" ht="5.0999999999999996" customHeight="1" x14ac:dyDescent="0.2">
      <c r="D75" s="37"/>
      <c r="E75" s="37"/>
      <c r="F75" s="37"/>
      <c r="G75" s="37"/>
      <c r="H75" s="37"/>
      <c r="I75" s="37"/>
      <c r="J75" s="37"/>
      <c r="K75" s="37"/>
      <c r="L75" s="37"/>
      <c r="M75" s="37"/>
      <c r="N75" s="37"/>
      <c r="O75" s="37"/>
      <c r="P75" s="37"/>
      <c r="Q75" s="37"/>
      <c r="R75" s="37"/>
      <c r="S75" s="37"/>
      <c r="T75" s="37"/>
      <c r="U75" s="37"/>
      <c r="V75" s="37"/>
      <c r="W75" s="37"/>
      <c r="X75" s="17"/>
      <c r="Y75" s="17"/>
      <c r="Z75" s="17"/>
      <c r="AA75" s="17"/>
      <c r="AB75" s="17"/>
      <c r="AC75" s="17"/>
      <c r="AD75" s="17"/>
    </row>
    <row r="76" spans="3:30" x14ac:dyDescent="0.2">
      <c r="C76" s="32" t="s">
        <v>141</v>
      </c>
      <c r="D76" s="33">
        <f t="shared" ref="D76:W76" si="6">+D74+D63+D48</f>
        <v>-94.29599999999995</v>
      </c>
      <c r="E76" s="33">
        <f t="shared" si="6"/>
        <v>52.60000000000008</v>
      </c>
      <c r="F76" s="33">
        <f t="shared" si="6"/>
        <v>-36.066000000000003</v>
      </c>
      <c r="G76" s="33">
        <f t="shared" si="6"/>
        <v>5.8179999999999836</v>
      </c>
      <c r="H76" s="71">
        <f t="shared" si="6"/>
        <v>-71.94399999999996</v>
      </c>
      <c r="I76" s="33">
        <f t="shared" si="6"/>
        <v>-14.835000000000022</v>
      </c>
      <c r="J76" s="33">
        <f t="shared" si="6"/>
        <v>-15.917000000000002</v>
      </c>
      <c r="K76" s="33">
        <f t="shared" si="6"/>
        <v>-7.5830000000000339</v>
      </c>
      <c r="L76" s="33">
        <f t="shared" si="6"/>
        <v>0</v>
      </c>
      <c r="M76" s="33">
        <f t="shared" si="6"/>
        <v>0</v>
      </c>
      <c r="N76" s="33">
        <f t="shared" si="6"/>
        <v>0</v>
      </c>
      <c r="O76" s="33">
        <f t="shared" si="6"/>
        <v>0</v>
      </c>
      <c r="P76" s="33">
        <f t="shared" si="6"/>
        <v>0</v>
      </c>
      <c r="Q76" s="33">
        <f t="shared" si="6"/>
        <v>0</v>
      </c>
      <c r="R76" s="33">
        <f t="shared" si="6"/>
        <v>0</v>
      </c>
      <c r="S76" s="33">
        <f t="shared" si="6"/>
        <v>0</v>
      </c>
      <c r="T76" s="33">
        <f t="shared" si="6"/>
        <v>0</v>
      </c>
      <c r="U76" s="33">
        <f t="shared" si="6"/>
        <v>0</v>
      </c>
      <c r="V76" s="33">
        <f t="shared" si="6"/>
        <v>0</v>
      </c>
      <c r="W76" s="33">
        <f t="shared" si="6"/>
        <v>0</v>
      </c>
      <c r="X76" s="17"/>
      <c r="Y76" s="17"/>
      <c r="Z76" s="17"/>
      <c r="AA76" s="17"/>
      <c r="AB76" s="17"/>
      <c r="AC76" s="17"/>
      <c r="AD76" s="17"/>
    </row>
    <row r="77" spans="3:30" x14ac:dyDescent="0.2">
      <c r="C77" s="17" t="s">
        <v>142</v>
      </c>
      <c r="D77" s="34"/>
      <c r="E77" s="34"/>
      <c r="F77" s="34"/>
      <c r="G77" s="34"/>
      <c r="H77" s="34"/>
      <c r="I77" s="34"/>
      <c r="J77" s="34"/>
      <c r="K77" s="34"/>
      <c r="X77" s="17"/>
      <c r="Y77" s="17"/>
      <c r="Z77" s="17"/>
      <c r="AA77" s="17"/>
      <c r="AB77" s="17"/>
      <c r="AC77" s="17"/>
      <c r="AD77" s="17"/>
    </row>
    <row r="78" spans="3:30" x14ac:dyDescent="0.2">
      <c r="C78" s="17" t="s">
        <v>143</v>
      </c>
      <c r="D78" s="74">
        <v>210.01699999999991</v>
      </c>
      <c r="E78" s="39">
        <f>+D79</f>
        <v>115.72099999999996</v>
      </c>
      <c r="F78" s="39">
        <f>+E79</f>
        <v>168.32100000000003</v>
      </c>
      <c r="G78" s="39">
        <f>+F79</f>
        <v>132.25500000000002</v>
      </c>
      <c r="H78" s="39">
        <f>+D78</f>
        <v>210.01699999999991</v>
      </c>
      <c r="I78" s="39">
        <f>+H79</f>
        <v>138.07299999999995</v>
      </c>
      <c r="J78" s="39">
        <v>123.24</v>
      </c>
      <c r="K78" s="39">
        <f>+J79</f>
        <v>107.32299999999999</v>
      </c>
      <c r="L78" s="39">
        <f>+K79</f>
        <v>99.739999999999952</v>
      </c>
      <c r="M78" s="39">
        <f>+H79</f>
        <v>138.07299999999995</v>
      </c>
      <c r="N78" s="39">
        <f>+M79</f>
        <v>138.07299999999995</v>
      </c>
      <c r="O78" s="39">
        <f>+N79</f>
        <v>138.07299999999995</v>
      </c>
      <c r="P78" s="39">
        <f>+O79</f>
        <v>138.07299999999995</v>
      </c>
      <c r="Q78" s="39">
        <f>+P79</f>
        <v>138.07299999999995</v>
      </c>
      <c r="R78" s="39">
        <f>+M79</f>
        <v>138.07299999999995</v>
      </c>
      <c r="S78" s="39">
        <f>+R79</f>
        <v>138.07299999999995</v>
      </c>
      <c r="T78" s="39">
        <f>+S79</f>
        <v>138.07299999999995</v>
      </c>
      <c r="U78" s="39">
        <f>+T79</f>
        <v>138.07299999999995</v>
      </c>
      <c r="V78" s="39">
        <f>+U79</f>
        <v>138.07299999999995</v>
      </c>
      <c r="W78" s="39">
        <f>+R79</f>
        <v>138.07299999999995</v>
      </c>
      <c r="X78" s="17"/>
      <c r="Y78" s="17"/>
      <c r="Z78" s="17"/>
      <c r="AA78" s="17"/>
      <c r="AB78" s="17"/>
      <c r="AC78" s="17"/>
      <c r="AD78" s="17"/>
    </row>
    <row r="79" spans="3:30" x14ac:dyDescent="0.2">
      <c r="C79" s="32" t="s">
        <v>144</v>
      </c>
      <c r="D79" s="33">
        <f t="shared" ref="D79:W79" si="7">+D76+D77+D78</f>
        <v>115.72099999999996</v>
      </c>
      <c r="E79" s="33">
        <f t="shared" si="7"/>
        <v>168.32100000000003</v>
      </c>
      <c r="F79" s="33">
        <f t="shared" si="7"/>
        <v>132.25500000000002</v>
      </c>
      <c r="G79" s="33">
        <f t="shared" si="7"/>
        <v>138.07300000000001</v>
      </c>
      <c r="H79" s="33">
        <f t="shared" si="7"/>
        <v>138.07299999999995</v>
      </c>
      <c r="I79" s="33">
        <f t="shared" si="7"/>
        <v>123.23799999999993</v>
      </c>
      <c r="J79" s="33">
        <f t="shared" si="7"/>
        <v>107.32299999999999</v>
      </c>
      <c r="K79" s="33">
        <f t="shared" si="7"/>
        <v>99.739999999999952</v>
      </c>
      <c r="L79" s="33">
        <f t="shared" si="7"/>
        <v>99.739999999999952</v>
      </c>
      <c r="M79" s="33">
        <f t="shared" si="7"/>
        <v>138.07299999999995</v>
      </c>
      <c r="N79" s="33">
        <f t="shared" si="7"/>
        <v>138.07299999999995</v>
      </c>
      <c r="O79" s="33">
        <f t="shared" si="7"/>
        <v>138.07299999999995</v>
      </c>
      <c r="P79" s="33">
        <f t="shared" si="7"/>
        <v>138.07299999999995</v>
      </c>
      <c r="Q79" s="33">
        <f t="shared" si="7"/>
        <v>138.07299999999995</v>
      </c>
      <c r="R79" s="33">
        <f t="shared" si="7"/>
        <v>138.07299999999995</v>
      </c>
      <c r="S79" s="33">
        <f t="shared" si="7"/>
        <v>138.07299999999995</v>
      </c>
      <c r="T79" s="33">
        <f t="shared" si="7"/>
        <v>138.07299999999995</v>
      </c>
      <c r="U79" s="33">
        <f t="shared" si="7"/>
        <v>138.07299999999995</v>
      </c>
      <c r="V79" s="33">
        <f t="shared" si="7"/>
        <v>138.07299999999995</v>
      </c>
      <c r="W79" s="33">
        <f t="shared" si="7"/>
        <v>138.07299999999995</v>
      </c>
      <c r="X79" s="17"/>
      <c r="Y79" s="17"/>
      <c r="Z79" s="17"/>
      <c r="AA79" s="17"/>
      <c r="AB79" s="17"/>
      <c r="AC79" s="17"/>
      <c r="AD79" s="17"/>
    </row>
    <row r="80" spans="3:30" x14ac:dyDescent="0.2">
      <c r="D80" s="37"/>
      <c r="E80" s="37"/>
      <c r="F80" s="37"/>
      <c r="G80" s="37"/>
      <c r="H80" s="37"/>
      <c r="I80" s="37"/>
      <c r="J80" s="37"/>
      <c r="K80" s="37"/>
      <c r="X80" s="17"/>
      <c r="Y80" s="17"/>
      <c r="Z80" s="17"/>
      <c r="AA80" s="17"/>
      <c r="AB80" s="17"/>
      <c r="AC80" s="17"/>
      <c r="AD80" s="17"/>
    </row>
    <row r="81" spans="3:30" x14ac:dyDescent="0.2">
      <c r="C81" s="30" t="s">
        <v>145</v>
      </c>
      <c r="D81" s="73"/>
      <c r="E81" s="73"/>
      <c r="F81" s="73"/>
      <c r="G81" s="73"/>
      <c r="H81" s="73"/>
      <c r="I81" s="73"/>
      <c r="J81" s="73"/>
      <c r="K81" s="73"/>
      <c r="L81" s="73"/>
      <c r="M81" s="73"/>
      <c r="N81" s="73"/>
      <c r="O81" s="73"/>
      <c r="P81" s="73"/>
      <c r="Q81" s="73"/>
      <c r="R81" s="73"/>
      <c r="S81" s="31"/>
      <c r="T81" s="31"/>
      <c r="U81" s="31"/>
      <c r="V81" s="31"/>
      <c r="W81" s="31"/>
      <c r="X81" s="17"/>
      <c r="Y81" s="17"/>
      <c r="Z81" s="17"/>
      <c r="AA81" s="17"/>
      <c r="AB81" s="17"/>
      <c r="AC81" s="17"/>
      <c r="AD81" s="17"/>
    </row>
    <row r="82" spans="3:30" x14ac:dyDescent="0.2">
      <c r="C82" s="17" t="s">
        <v>585</v>
      </c>
      <c r="D82" s="36">
        <v>2813.4589999999998</v>
      </c>
      <c r="E82" s="36">
        <v>2744.9609999999998</v>
      </c>
      <c r="F82" s="36">
        <v>2718.422</v>
      </c>
      <c r="G82" s="36">
        <v>2665.7849999999999</v>
      </c>
      <c r="H82" s="36">
        <v>2665.7849999999999</v>
      </c>
      <c r="I82" s="36">
        <v>2693.3580000000002</v>
      </c>
      <c r="J82" s="36">
        <v>2952.8939999999998</v>
      </c>
      <c r="K82" s="36">
        <v>3033.5140000000001</v>
      </c>
      <c r="L82" s="40"/>
      <c r="M82" s="40"/>
      <c r="N82" s="40"/>
      <c r="O82" s="40"/>
      <c r="P82" s="40"/>
      <c r="Q82" s="40"/>
      <c r="R82" s="40"/>
      <c r="S82" s="40"/>
      <c r="T82" s="40"/>
      <c r="U82" s="40"/>
      <c r="V82" s="40"/>
      <c r="W82" s="40"/>
      <c r="X82" s="17"/>
      <c r="Y82" s="17"/>
      <c r="Z82" s="17"/>
      <c r="AA82" s="17"/>
      <c r="AB82" s="17"/>
      <c r="AC82" s="17"/>
      <c r="AD82" s="17"/>
    </row>
    <row r="83" spans="3:30" x14ac:dyDescent="0.2">
      <c r="C83" s="17" t="s">
        <v>271</v>
      </c>
      <c r="D83" s="36">
        <v>41.915999999999997</v>
      </c>
      <c r="E83" s="36">
        <v>39.884</v>
      </c>
      <c r="F83" s="36">
        <v>0</v>
      </c>
      <c r="G83" s="36">
        <v>12.542</v>
      </c>
      <c r="H83" s="36">
        <v>12.542</v>
      </c>
      <c r="I83" s="36">
        <v>43.56</v>
      </c>
      <c r="J83" s="36">
        <v>0</v>
      </c>
      <c r="K83" s="36">
        <v>0</v>
      </c>
      <c r="L83" s="40"/>
      <c r="M83" s="40"/>
      <c r="N83" s="40"/>
      <c r="O83" s="40"/>
      <c r="P83" s="40"/>
      <c r="Q83" s="40"/>
      <c r="R83" s="40"/>
      <c r="S83" s="40"/>
      <c r="T83" s="40"/>
      <c r="U83" s="40"/>
      <c r="V83" s="40"/>
      <c r="W83" s="40"/>
      <c r="X83" s="17"/>
      <c r="Y83" s="17"/>
      <c r="Z83" s="17"/>
      <c r="AA83" s="17"/>
      <c r="AB83" s="17"/>
      <c r="AC83" s="17"/>
      <c r="AD83" s="17"/>
    </row>
    <row r="84" spans="3:30" x14ac:dyDescent="0.2">
      <c r="C84" s="17" t="s">
        <v>586</v>
      </c>
      <c r="D84" s="36">
        <v>35.89</v>
      </c>
      <c r="E84" s="36">
        <v>49.83</v>
      </c>
      <c r="F84" s="36">
        <v>73.582999999999998</v>
      </c>
      <c r="G84" s="36">
        <v>91.897999999999996</v>
      </c>
      <c r="H84" s="36">
        <v>91.897999999999996</v>
      </c>
      <c r="I84" s="36">
        <v>111.096</v>
      </c>
      <c r="J84" s="36">
        <v>62.396999999999998</v>
      </c>
      <c r="K84" s="36">
        <v>44.713999999999999</v>
      </c>
      <c r="L84" s="40"/>
      <c r="M84" s="40"/>
      <c r="N84" s="40"/>
      <c r="O84" s="40"/>
      <c r="P84" s="40"/>
      <c r="Q84" s="40"/>
      <c r="R84" s="40"/>
      <c r="S84" s="40"/>
      <c r="T84" s="40"/>
      <c r="U84" s="40"/>
      <c r="V84" s="40"/>
      <c r="W84" s="40"/>
      <c r="X84" s="17"/>
      <c r="Y84" s="17"/>
      <c r="Z84" s="17"/>
      <c r="AA84" s="17"/>
      <c r="AB84" s="17"/>
      <c r="AC84" s="17"/>
      <c r="AD84" s="17"/>
    </row>
    <row r="85" spans="3:30" x14ac:dyDescent="0.2">
      <c r="C85" s="17" t="s">
        <v>587</v>
      </c>
      <c r="D85" s="36">
        <v>94.849000000000004</v>
      </c>
      <c r="E85" s="36">
        <v>91.123000000000005</v>
      </c>
      <c r="F85" s="36">
        <v>87.355999999999995</v>
      </c>
      <c r="G85" s="36">
        <v>83.588999999999999</v>
      </c>
      <c r="H85" s="36">
        <v>83.588999999999999</v>
      </c>
      <c r="I85" s="36">
        <v>79.903999999999996</v>
      </c>
      <c r="J85" s="36">
        <v>76.177000000000007</v>
      </c>
      <c r="K85" s="36">
        <v>88.605000000000004</v>
      </c>
      <c r="L85" s="40"/>
      <c r="M85" s="40"/>
      <c r="N85" s="40"/>
      <c r="O85" s="40"/>
      <c r="P85" s="40"/>
      <c r="Q85" s="40"/>
      <c r="R85" s="40"/>
      <c r="S85" s="40"/>
      <c r="T85" s="40"/>
      <c r="U85" s="40"/>
      <c r="V85" s="40"/>
      <c r="W85" s="40"/>
      <c r="X85" s="17"/>
      <c r="Y85" s="17"/>
      <c r="Z85" s="17"/>
      <c r="AA85" s="17"/>
      <c r="AB85" s="17"/>
      <c r="AC85" s="17"/>
      <c r="AD85" s="17"/>
    </row>
    <row r="86" spans="3:30" x14ac:dyDescent="0.2">
      <c r="C86" s="17" t="s">
        <v>588</v>
      </c>
      <c r="D86" s="36">
        <v>26.803999999999998</v>
      </c>
      <c r="E86" s="36">
        <v>25.652000000000001</v>
      </c>
      <c r="F86" s="36">
        <v>27.33</v>
      </c>
      <c r="G86" s="36">
        <v>15.646000000000001</v>
      </c>
      <c r="H86" s="36">
        <v>15.646000000000001</v>
      </c>
      <c r="I86" s="36">
        <v>14.324</v>
      </c>
      <c r="J86" s="36">
        <v>12.988</v>
      </c>
      <c r="K86" s="36">
        <v>10.128</v>
      </c>
      <c r="L86" s="40"/>
      <c r="M86" s="40"/>
      <c r="N86" s="40"/>
      <c r="O86" s="40"/>
      <c r="P86" s="40"/>
      <c r="Q86" s="40"/>
      <c r="R86" s="40"/>
      <c r="S86" s="40"/>
      <c r="T86" s="40"/>
      <c r="U86" s="40"/>
      <c r="V86" s="40"/>
      <c r="W86" s="40"/>
      <c r="X86" s="17"/>
      <c r="Y86" s="17"/>
      <c r="Z86" s="17"/>
      <c r="AA86" s="17"/>
      <c r="AB86" s="17"/>
      <c r="AC86" s="17"/>
      <c r="AD86" s="17"/>
    </row>
    <row r="87" spans="3:30" x14ac:dyDescent="0.2">
      <c r="C87" s="17" t="s">
        <v>584</v>
      </c>
      <c r="D87" s="36">
        <v>0</v>
      </c>
      <c r="E87" s="36">
        <v>0</v>
      </c>
      <c r="F87" s="36">
        <v>0</v>
      </c>
      <c r="G87" s="36">
        <v>0</v>
      </c>
      <c r="H87" s="36">
        <v>0</v>
      </c>
      <c r="I87" s="36">
        <v>0</v>
      </c>
      <c r="J87" s="36">
        <v>0</v>
      </c>
      <c r="K87" s="36">
        <v>0</v>
      </c>
      <c r="L87" s="40"/>
      <c r="M87" s="40"/>
      <c r="N87" s="40"/>
      <c r="O87" s="40"/>
      <c r="P87" s="40"/>
      <c r="Q87" s="40"/>
      <c r="R87" s="40"/>
      <c r="S87" s="40"/>
      <c r="T87" s="40"/>
      <c r="U87" s="40"/>
      <c r="V87" s="40"/>
      <c r="W87" s="40"/>
      <c r="X87" s="17"/>
      <c r="Y87" s="17"/>
      <c r="Z87" s="17"/>
      <c r="AA87" s="17"/>
      <c r="AB87" s="17"/>
      <c r="AC87" s="17"/>
      <c r="AD87" s="17"/>
    </row>
    <row r="88" spans="3:30" x14ac:dyDescent="0.2">
      <c r="C88" s="17" t="s">
        <v>589</v>
      </c>
      <c r="D88" s="36">
        <v>0</v>
      </c>
      <c r="E88" s="36">
        <v>0</v>
      </c>
      <c r="F88" s="36">
        <v>0</v>
      </c>
      <c r="G88" s="36">
        <v>65.400000000000006</v>
      </c>
      <c r="H88" s="36">
        <v>65.400000000000006</v>
      </c>
      <c r="I88" s="36">
        <v>0</v>
      </c>
      <c r="J88" s="36">
        <v>0</v>
      </c>
      <c r="K88" s="36">
        <v>0</v>
      </c>
      <c r="L88" s="40"/>
      <c r="M88" s="40"/>
      <c r="N88" s="40"/>
      <c r="O88" s="40"/>
      <c r="P88" s="40"/>
      <c r="Q88" s="40"/>
      <c r="R88" s="40"/>
      <c r="S88" s="40"/>
      <c r="T88" s="40"/>
      <c r="U88" s="40"/>
      <c r="V88" s="40"/>
      <c r="W88" s="40"/>
      <c r="X88" s="17"/>
      <c r="Y88" s="17"/>
      <c r="Z88" s="17"/>
      <c r="AA88" s="17"/>
      <c r="AB88" s="17"/>
      <c r="AC88" s="17"/>
      <c r="AD88" s="17"/>
    </row>
    <row r="89" spans="3:30" x14ac:dyDescent="0.2">
      <c r="C89" s="17" t="s">
        <v>581</v>
      </c>
      <c r="D89" s="36">
        <v>0</v>
      </c>
      <c r="E89" s="36">
        <v>0</v>
      </c>
      <c r="F89" s="36">
        <v>0</v>
      </c>
      <c r="G89" s="36">
        <v>0.83699999999999997</v>
      </c>
      <c r="H89" s="36">
        <v>0.83699999999999997</v>
      </c>
      <c r="I89" s="36">
        <v>0</v>
      </c>
      <c r="J89" s="36">
        <v>0</v>
      </c>
      <c r="K89" s="36">
        <v>0</v>
      </c>
      <c r="L89" s="40"/>
      <c r="M89" s="40"/>
      <c r="N89" s="40"/>
      <c r="O89" s="40"/>
      <c r="P89" s="40"/>
      <c r="Q89" s="40"/>
      <c r="R89" s="40"/>
      <c r="S89" s="40"/>
      <c r="T89" s="40"/>
      <c r="U89" s="40"/>
      <c r="V89" s="40"/>
      <c r="W89" s="40"/>
      <c r="X89" s="17"/>
      <c r="Y89" s="17"/>
      <c r="Z89" s="17"/>
      <c r="AA89" s="17"/>
      <c r="AB89" s="17"/>
      <c r="AC89" s="17"/>
      <c r="AD89" s="17"/>
    </row>
    <row r="90" spans="3:30" x14ac:dyDescent="0.2">
      <c r="C90" s="17" t="s">
        <v>590</v>
      </c>
      <c r="D90" s="36">
        <v>0</v>
      </c>
      <c r="E90" s="36">
        <v>0</v>
      </c>
      <c r="F90" s="36">
        <v>0</v>
      </c>
      <c r="G90" s="36">
        <v>20.861000000000001</v>
      </c>
      <c r="H90" s="36">
        <v>20.861000000000001</v>
      </c>
      <c r="I90" s="36">
        <v>0</v>
      </c>
      <c r="J90" s="36">
        <v>0</v>
      </c>
      <c r="K90" s="36">
        <v>0</v>
      </c>
      <c r="L90" s="40"/>
      <c r="M90" s="40"/>
      <c r="N90" s="40"/>
      <c r="O90" s="40"/>
      <c r="P90" s="40"/>
      <c r="Q90" s="40"/>
      <c r="R90" s="40"/>
      <c r="S90" s="40"/>
      <c r="T90" s="40"/>
      <c r="U90" s="40"/>
      <c r="V90" s="40"/>
      <c r="W90" s="40"/>
      <c r="X90" s="17"/>
      <c r="Y90" s="17"/>
      <c r="Z90" s="17"/>
      <c r="AA90" s="17"/>
      <c r="AB90" s="17"/>
      <c r="AC90" s="17"/>
      <c r="AD90" s="17"/>
    </row>
    <row r="91" spans="3:30" x14ac:dyDescent="0.2">
      <c r="C91" s="17" t="s">
        <v>591</v>
      </c>
      <c r="D91" s="36">
        <v>49.956000000000003</v>
      </c>
      <c r="E91" s="36">
        <v>81.150000000000006</v>
      </c>
      <c r="F91" s="36">
        <v>93.474999999999994</v>
      </c>
      <c r="G91" s="36">
        <v>1.5860000000000001</v>
      </c>
      <c r="H91" s="36">
        <v>1.5860000000000001</v>
      </c>
      <c r="I91" s="36">
        <v>92.561000000000007</v>
      </c>
      <c r="J91" s="36">
        <v>87.048000000000002</v>
      </c>
      <c r="K91" s="36">
        <v>85.44</v>
      </c>
      <c r="L91" s="40"/>
      <c r="M91" s="40"/>
      <c r="N91" s="40"/>
      <c r="O91" s="40"/>
      <c r="P91" s="40"/>
      <c r="Q91" s="40"/>
      <c r="R91" s="40"/>
      <c r="S91" s="40"/>
      <c r="T91" s="40"/>
      <c r="U91" s="40"/>
      <c r="V91" s="40"/>
      <c r="W91" s="40"/>
      <c r="X91" s="17"/>
      <c r="Y91" s="17"/>
      <c r="Z91" s="17"/>
      <c r="AA91" s="17"/>
      <c r="AB91" s="17"/>
      <c r="AC91" s="17"/>
      <c r="AD91" s="17"/>
    </row>
    <row r="92" spans="3:30" x14ac:dyDescent="0.2">
      <c r="C92" s="32" t="s">
        <v>156</v>
      </c>
      <c r="D92" s="33">
        <f t="shared" ref="D92:W92" si="8">+SUM(D82:D91)</f>
        <v>3062.8740000000003</v>
      </c>
      <c r="E92" s="33">
        <f t="shared" si="8"/>
        <v>3032.6</v>
      </c>
      <c r="F92" s="33">
        <f t="shared" si="8"/>
        <v>3000.1659999999997</v>
      </c>
      <c r="G92" s="33">
        <f t="shared" si="8"/>
        <v>2958.1439999999998</v>
      </c>
      <c r="H92" s="33">
        <f t="shared" si="8"/>
        <v>2958.1439999999998</v>
      </c>
      <c r="I92" s="33">
        <f t="shared" si="8"/>
        <v>3034.8030000000003</v>
      </c>
      <c r="J92" s="33">
        <f t="shared" si="8"/>
        <v>3191.5039999999999</v>
      </c>
      <c r="K92" s="33">
        <f t="shared" si="8"/>
        <v>3262.4010000000003</v>
      </c>
      <c r="L92" s="33">
        <f t="shared" si="8"/>
        <v>0</v>
      </c>
      <c r="M92" s="33">
        <f t="shared" si="8"/>
        <v>0</v>
      </c>
      <c r="N92" s="33">
        <f t="shared" si="8"/>
        <v>0</v>
      </c>
      <c r="O92" s="33">
        <f t="shared" si="8"/>
        <v>0</v>
      </c>
      <c r="P92" s="33">
        <f t="shared" si="8"/>
        <v>0</v>
      </c>
      <c r="Q92" s="33">
        <f t="shared" si="8"/>
        <v>0</v>
      </c>
      <c r="R92" s="33">
        <f t="shared" si="8"/>
        <v>0</v>
      </c>
      <c r="S92" s="33">
        <f t="shared" si="8"/>
        <v>0</v>
      </c>
      <c r="T92" s="33">
        <f t="shared" si="8"/>
        <v>0</v>
      </c>
      <c r="U92" s="33">
        <f t="shared" si="8"/>
        <v>0</v>
      </c>
      <c r="V92" s="33">
        <f t="shared" si="8"/>
        <v>0</v>
      </c>
      <c r="W92" s="33">
        <f t="shared" si="8"/>
        <v>0</v>
      </c>
      <c r="X92" s="17"/>
      <c r="Y92" s="17"/>
      <c r="Z92" s="17"/>
      <c r="AA92" s="17"/>
      <c r="AB92" s="17"/>
      <c r="AC92" s="17"/>
      <c r="AD92" s="17"/>
    </row>
    <row r="93" spans="3:30" ht="5.0999999999999996" customHeight="1" x14ac:dyDescent="0.2">
      <c r="D93" s="37"/>
      <c r="E93" s="37"/>
      <c r="F93" s="37"/>
      <c r="G93" s="37"/>
      <c r="H93" s="37"/>
      <c r="I93" s="37"/>
      <c r="J93" s="37"/>
      <c r="K93" s="37"/>
      <c r="X93" s="17"/>
      <c r="Y93" s="17"/>
      <c r="Z93" s="17"/>
      <c r="AA93" s="17"/>
      <c r="AB93" s="17"/>
      <c r="AC93" s="17"/>
      <c r="AD93" s="17"/>
    </row>
    <row r="94" spans="3:30" x14ac:dyDescent="0.2">
      <c r="C94" s="17" t="s">
        <v>577</v>
      </c>
      <c r="D94" s="36">
        <v>107.35599999999999</v>
      </c>
      <c r="E94" s="36">
        <v>163.98099999999999</v>
      </c>
      <c r="F94" s="36">
        <v>129.27000000000001</v>
      </c>
      <c r="G94" s="36">
        <v>134.78399999999999</v>
      </c>
      <c r="H94" s="36">
        <v>134.78399999999999</v>
      </c>
      <c r="I94" s="36">
        <v>118.422</v>
      </c>
      <c r="J94" s="36">
        <v>103.89700000000001</v>
      </c>
      <c r="K94" s="36">
        <v>97.516999999999996</v>
      </c>
      <c r="L94" s="40"/>
      <c r="M94" s="40"/>
      <c r="N94" s="40"/>
      <c r="O94" s="40"/>
      <c r="P94" s="40"/>
      <c r="Q94" s="40"/>
      <c r="R94" s="40"/>
      <c r="S94" s="40"/>
      <c r="T94" s="40"/>
      <c r="U94" s="40"/>
      <c r="V94" s="40"/>
      <c r="W94" s="40"/>
      <c r="X94" s="17"/>
      <c r="Y94" s="17"/>
      <c r="Z94" s="17"/>
      <c r="AA94" s="17"/>
      <c r="AB94" s="17"/>
      <c r="AC94" s="17"/>
      <c r="AD94" s="17"/>
    </row>
    <row r="95" spans="3:30" x14ac:dyDescent="0.2">
      <c r="C95" s="17" t="s">
        <v>257</v>
      </c>
      <c r="D95" s="36">
        <v>8.3650000000000002</v>
      </c>
      <c r="E95" s="36">
        <v>4.34</v>
      </c>
      <c r="F95" s="36">
        <v>2.9849999999999999</v>
      </c>
      <c r="G95" s="36">
        <v>3.2890000000000001</v>
      </c>
      <c r="H95" s="36">
        <v>3.2890000000000001</v>
      </c>
      <c r="I95" s="36">
        <v>4.8179999999999996</v>
      </c>
      <c r="J95" s="36">
        <v>3.4260000000000002</v>
      </c>
      <c r="K95" s="36">
        <v>2.2229999999999999</v>
      </c>
      <c r="L95" s="40"/>
      <c r="M95" s="40"/>
      <c r="N95" s="40"/>
      <c r="O95" s="40"/>
      <c r="P95" s="40"/>
      <c r="Q95" s="40"/>
      <c r="R95" s="40"/>
      <c r="S95" s="40"/>
      <c r="T95" s="40"/>
      <c r="U95" s="40"/>
      <c r="V95" s="40"/>
      <c r="W95" s="40"/>
      <c r="X95" s="17"/>
      <c r="Y95" s="17"/>
      <c r="Z95" s="17"/>
      <c r="AA95" s="17"/>
      <c r="AB95" s="17"/>
      <c r="AC95" s="17"/>
      <c r="AD95" s="17"/>
    </row>
    <row r="96" spans="3:30" x14ac:dyDescent="0.2">
      <c r="C96" s="17" t="s">
        <v>578</v>
      </c>
      <c r="D96" s="36">
        <v>0</v>
      </c>
      <c r="E96" s="36">
        <v>0</v>
      </c>
      <c r="F96" s="36">
        <v>0</v>
      </c>
      <c r="G96" s="36">
        <v>2.1869999999999998</v>
      </c>
      <c r="H96" s="36">
        <v>2.1869999999999998</v>
      </c>
      <c r="I96" s="36">
        <v>0</v>
      </c>
      <c r="J96" s="36">
        <v>0</v>
      </c>
      <c r="K96" s="36">
        <v>0</v>
      </c>
      <c r="L96" s="40"/>
      <c r="M96" s="40"/>
      <c r="N96" s="40"/>
      <c r="O96" s="40"/>
      <c r="P96" s="40"/>
      <c r="Q96" s="40"/>
      <c r="R96" s="40"/>
      <c r="S96" s="40"/>
      <c r="T96" s="40"/>
      <c r="U96" s="40"/>
      <c r="V96" s="40"/>
      <c r="W96" s="40"/>
      <c r="X96" s="17"/>
      <c r="Y96" s="17"/>
      <c r="Z96" s="17"/>
      <c r="AA96" s="17"/>
      <c r="AB96" s="17"/>
      <c r="AC96" s="17"/>
      <c r="AD96" s="17"/>
    </row>
    <row r="97" spans="3:30" x14ac:dyDescent="0.2">
      <c r="C97" s="17" t="s">
        <v>579</v>
      </c>
      <c r="D97" s="36">
        <v>0</v>
      </c>
      <c r="E97" s="36">
        <v>0</v>
      </c>
      <c r="F97" s="36">
        <v>0</v>
      </c>
      <c r="G97" s="36">
        <v>14.95</v>
      </c>
      <c r="H97" s="36">
        <v>14.95</v>
      </c>
      <c r="I97" s="36">
        <v>0</v>
      </c>
      <c r="J97" s="36">
        <v>0</v>
      </c>
      <c r="K97" s="36">
        <v>0</v>
      </c>
      <c r="L97" s="40"/>
      <c r="M97" s="40"/>
      <c r="N97" s="40"/>
      <c r="O97" s="40"/>
      <c r="P97" s="40"/>
      <c r="Q97" s="40"/>
      <c r="R97" s="40"/>
      <c r="S97" s="40"/>
      <c r="T97" s="40"/>
      <c r="U97" s="40"/>
      <c r="V97" s="40"/>
      <c r="W97" s="40"/>
      <c r="X97" s="17"/>
      <c r="Y97" s="17"/>
      <c r="Z97" s="17"/>
      <c r="AA97" s="17"/>
      <c r="AB97" s="17"/>
      <c r="AC97" s="17"/>
      <c r="AD97" s="17"/>
    </row>
    <row r="98" spans="3:30" x14ac:dyDescent="0.2">
      <c r="C98" s="17" t="s">
        <v>580</v>
      </c>
      <c r="D98" s="36">
        <v>182.846</v>
      </c>
      <c r="E98" s="36">
        <v>186.78399999999999</v>
      </c>
      <c r="F98" s="36">
        <v>192.09</v>
      </c>
      <c r="G98" s="36">
        <v>54.43</v>
      </c>
      <c r="H98" s="36">
        <v>54.43</v>
      </c>
      <c r="I98" s="36">
        <v>156.49799999999999</v>
      </c>
      <c r="J98" s="36">
        <v>165.45400000000001</v>
      </c>
      <c r="K98" s="36">
        <v>181.30600000000001</v>
      </c>
      <c r="L98" s="40"/>
      <c r="M98" s="40"/>
      <c r="N98" s="40"/>
      <c r="O98" s="40"/>
      <c r="P98" s="40"/>
      <c r="Q98" s="40"/>
      <c r="R98" s="40"/>
      <c r="S98" s="40"/>
      <c r="T98" s="40"/>
      <c r="U98" s="40"/>
      <c r="V98" s="40"/>
      <c r="W98" s="40"/>
      <c r="X98" s="17"/>
      <c r="Y98" s="17"/>
      <c r="Z98" s="17"/>
      <c r="AA98" s="17"/>
      <c r="AB98" s="17"/>
      <c r="AC98" s="17"/>
      <c r="AD98" s="17"/>
    </row>
    <row r="99" spans="3:30" x14ac:dyDescent="0.2">
      <c r="C99" s="17" t="s">
        <v>581</v>
      </c>
      <c r="D99" s="36">
        <v>0</v>
      </c>
      <c r="E99" s="36">
        <v>0</v>
      </c>
      <c r="F99" s="36">
        <v>0</v>
      </c>
      <c r="G99" s="36">
        <v>2.3340000000000001</v>
      </c>
      <c r="H99" s="36">
        <v>2.3340000000000001</v>
      </c>
      <c r="I99" s="36">
        <v>0</v>
      </c>
      <c r="J99" s="36">
        <v>0</v>
      </c>
      <c r="K99" s="36">
        <v>0</v>
      </c>
      <c r="L99" s="40"/>
      <c r="M99" s="40"/>
      <c r="N99" s="40"/>
      <c r="O99" s="40"/>
      <c r="P99" s="40"/>
      <c r="Q99" s="40"/>
      <c r="R99" s="40"/>
      <c r="S99" s="40"/>
      <c r="T99" s="40"/>
      <c r="U99" s="40"/>
      <c r="V99" s="40"/>
      <c r="W99" s="40"/>
      <c r="X99" s="17"/>
      <c r="Y99" s="17"/>
      <c r="Z99" s="17"/>
      <c r="AA99" s="17"/>
      <c r="AB99" s="17"/>
      <c r="AC99" s="17"/>
      <c r="AD99" s="17"/>
    </row>
    <row r="100" spans="3:30" x14ac:dyDescent="0.2">
      <c r="C100" s="17" t="s">
        <v>582</v>
      </c>
      <c r="D100" s="36">
        <v>0</v>
      </c>
      <c r="E100" s="36">
        <v>0</v>
      </c>
      <c r="F100" s="36">
        <v>0</v>
      </c>
      <c r="G100" s="36">
        <v>12.262</v>
      </c>
      <c r="H100" s="36">
        <v>12.262</v>
      </c>
      <c r="I100" s="36">
        <v>0</v>
      </c>
      <c r="J100" s="36">
        <v>0</v>
      </c>
      <c r="K100" s="36">
        <v>0</v>
      </c>
      <c r="L100" s="40"/>
      <c r="M100" s="40"/>
      <c r="N100" s="40"/>
      <c r="O100" s="40"/>
      <c r="P100" s="40"/>
      <c r="Q100" s="40"/>
      <c r="R100" s="40"/>
      <c r="S100" s="40"/>
      <c r="T100" s="40"/>
      <c r="U100" s="40"/>
      <c r="V100" s="40"/>
      <c r="W100" s="40"/>
      <c r="X100" s="17"/>
      <c r="Y100" s="17"/>
      <c r="Z100" s="17"/>
      <c r="AA100" s="17"/>
      <c r="AB100" s="17"/>
      <c r="AC100" s="17"/>
      <c r="AD100" s="17"/>
    </row>
    <row r="101" spans="3:30" x14ac:dyDescent="0.2">
      <c r="C101" s="17" t="s">
        <v>115</v>
      </c>
      <c r="D101" s="36">
        <v>0</v>
      </c>
      <c r="E101" s="36">
        <v>0</v>
      </c>
      <c r="F101" s="36">
        <v>0</v>
      </c>
      <c r="G101" s="36">
        <v>45.433999999999997</v>
      </c>
      <c r="H101" s="36">
        <v>45.433999999999997</v>
      </c>
      <c r="I101" s="36">
        <v>0</v>
      </c>
      <c r="J101" s="36">
        <v>0</v>
      </c>
      <c r="K101" s="36">
        <v>0</v>
      </c>
      <c r="L101" s="40"/>
      <c r="M101" s="40"/>
      <c r="N101" s="40"/>
      <c r="O101" s="40"/>
      <c r="P101" s="40"/>
      <c r="Q101" s="40"/>
      <c r="R101" s="40"/>
      <c r="S101" s="40"/>
      <c r="T101" s="40"/>
      <c r="U101" s="40"/>
      <c r="V101" s="40"/>
      <c r="W101" s="40"/>
      <c r="X101" s="17"/>
      <c r="Y101" s="17"/>
      <c r="Z101" s="17"/>
      <c r="AA101" s="17"/>
      <c r="AB101" s="17"/>
      <c r="AC101" s="17"/>
      <c r="AD101" s="17"/>
    </row>
    <row r="102" spans="3:30" x14ac:dyDescent="0.2">
      <c r="C102" s="17" t="s">
        <v>490</v>
      </c>
      <c r="D102" s="36">
        <v>0</v>
      </c>
      <c r="E102" s="36">
        <v>0</v>
      </c>
      <c r="F102" s="36">
        <v>0</v>
      </c>
      <c r="G102" s="36">
        <v>12.503</v>
      </c>
      <c r="H102" s="36">
        <v>12.503</v>
      </c>
      <c r="I102" s="36">
        <v>0</v>
      </c>
      <c r="J102" s="36">
        <v>0</v>
      </c>
      <c r="K102" s="36">
        <v>0</v>
      </c>
      <c r="L102" s="40"/>
      <c r="M102" s="40"/>
      <c r="N102" s="40"/>
      <c r="O102" s="40"/>
      <c r="P102" s="40"/>
      <c r="Q102" s="40"/>
      <c r="R102" s="40"/>
      <c r="S102" s="40"/>
      <c r="T102" s="40"/>
      <c r="U102" s="40"/>
      <c r="V102" s="40"/>
      <c r="W102" s="40"/>
      <c r="X102" s="17"/>
      <c r="Y102" s="17"/>
      <c r="Z102" s="17"/>
      <c r="AA102" s="17"/>
      <c r="AB102" s="17"/>
      <c r="AC102" s="17"/>
      <c r="AD102" s="17"/>
    </row>
    <row r="103" spans="3:30" x14ac:dyDescent="0.2">
      <c r="C103" s="17" t="s">
        <v>583</v>
      </c>
      <c r="D103" s="36">
        <v>0</v>
      </c>
      <c r="E103" s="36">
        <v>0</v>
      </c>
      <c r="F103" s="36">
        <v>0</v>
      </c>
      <c r="G103" s="36">
        <v>16.974</v>
      </c>
      <c r="H103" s="36">
        <v>16.974</v>
      </c>
      <c r="I103" s="36">
        <v>0</v>
      </c>
      <c r="J103" s="36">
        <v>0</v>
      </c>
      <c r="K103" s="36">
        <v>0</v>
      </c>
      <c r="L103" s="40"/>
      <c r="M103" s="40"/>
      <c r="N103" s="40"/>
      <c r="O103" s="40"/>
      <c r="P103" s="40"/>
      <c r="Q103" s="40"/>
      <c r="R103" s="40"/>
      <c r="S103" s="40"/>
      <c r="T103" s="40"/>
      <c r="U103" s="40"/>
      <c r="V103" s="40"/>
      <c r="W103" s="40"/>
      <c r="X103" s="17"/>
      <c r="Y103" s="17"/>
      <c r="Z103" s="17"/>
      <c r="AA103" s="17"/>
      <c r="AB103" s="17"/>
      <c r="AC103" s="17"/>
      <c r="AD103" s="17"/>
    </row>
    <row r="104" spans="3:30" x14ac:dyDescent="0.2">
      <c r="C104" s="17" t="s">
        <v>584</v>
      </c>
      <c r="D104" s="36">
        <v>0</v>
      </c>
      <c r="E104" s="36">
        <v>0</v>
      </c>
      <c r="F104" s="36">
        <v>0</v>
      </c>
      <c r="G104" s="36">
        <v>0</v>
      </c>
      <c r="H104" s="36">
        <v>0</v>
      </c>
      <c r="I104" s="36">
        <v>0</v>
      </c>
      <c r="J104" s="36">
        <v>0</v>
      </c>
      <c r="K104" s="36">
        <v>0</v>
      </c>
      <c r="L104" s="40"/>
      <c r="M104" s="40"/>
      <c r="N104" s="40"/>
      <c r="O104" s="40"/>
      <c r="P104" s="40"/>
      <c r="Q104" s="40"/>
      <c r="R104" s="40"/>
      <c r="S104" s="40"/>
      <c r="T104" s="40"/>
      <c r="U104" s="40"/>
      <c r="V104" s="40"/>
      <c r="W104" s="40"/>
      <c r="X104" s="17"/>
      <c r="Y104" s="17"/>
      <c r="Z104" s="17"/>
      <c r="AA104" s="17"/>
      <c r="AB104" s="17"/>
      <c r="AC104" s="17"/>
      <c r="AD104" s="17"/>
    </row>
    <row r="105" spans="3:30" x14ac:dyDescent="0.2">
      <c r="C105" s="32" t="s">
        <v>155</v>
      </c>
      <c r="D105" s="33">
        <f t="shared" ref="D105:W105" si="9">SUM(D94:D104)</f>
        <v>298.56700000000001</v>
      </c>
      <c r="E105" s="33">
        <f t="shared" si="9"/>
        <v>355.10500000000002</v>
      </c>
      <c r="F105" s="33">
        <f t="shared" si="9"/>
        <v>324.34500000000003</v>
      </c>
      <c r="G105" s="33">
        <f t="shared" si="9"/>
        <v>299.14699999999993</v>
      </c>
      <c r="H105" s="33">
        <f t="shared" si="9"/>
        <v>299.14699999999993</v>
      </c>
      <c r="I105" s="33">
        <f t="shared" si="9"/>
        <v>279.738</v>
      </c>
      <c r="J105" s="33">
        <f t="shared" si="9"/>
        <v>272.77700000000004</v>
      </c>
      <c r="K105" s="33">
        <f t="shared" si="9"/>
        <v>281.04599999999999</v>
      </c>
      <c r="L105" s="33">
        <f t="shared" si="9"/>
        <v>0</v>
      </c>
      <c r="M105" s="33">
        <f t="shared" si="9"/>
        <v>0</v>
      </c>
      <c r="N105" s="33">
        <f t="shared" si="9"/>
        <v>0</v>
      </c>
      <c r="O105" s="33">
        <f t="shared" si="9"/>
        <v>0</v>
      </c>
      <c r="P105" s="33">
        <f t="shared" si="9"/>
        <v>0</v>
      </c>
      <c r="Q105" s="33">
        <f t="shared" si="9"/>
        <v>0</v>
      </c>
      <c r="R105" s="33">
        <f t="shared" si="9"/>
        <v>0</v>
      </c>
      <c r="S105" s="33">
        <f t="shared" si="9"/>
        <v>0</v>
      </c>
      <c r="T105" s="33">
        <f t="shared" si="9"/>
        <v>0</v>
      </c>
      <c r="U105" s="33">
        <f t="shared" si="9"/>
        <v>0</v>
      </c>
      <c r="V105" s="33">
        <f t="shared" si="9"/>
        <v>0</v>
      </c>
      <c r="W105" s="33">
        <f t="shared" si="9"/>
        <v>0</v>
      </c>
      <c r="X105" s="17"/>
      <c r="Y105" s="17"/>
      <c r="Z105" s="17"/>
      <c r="AA105" s="17"/>
      <c r="AB105" s="17"/>
      <c r="AC105" s="17"/>
      <c r="AD105" s="17"/>
    </row>
    <row r="106" spans="3:30" ht="5.0999999999999996" customHeight="1" x14ac:dyDescent="0.2">
      <c r="D106" s="37"/>
      <c r="E106" s="37"/>
      <c r="F106" s="37"/>
      <c r="G106" s="37"/>
      <c r="H106" s="37"/>
      <c r="I106" s="37"/>
      <c r="J106" s="37"/>
      <c r="K106" s="37"/>
      <c r="X106" s="17"/>
      <c r="Y106" s="17"/>
      <c r="Z106" s="17"/>
      <c r="AA106" s="17"/>
      <c r="AB106" s="17"/>
      <c r="AC106" s="17"/>
      <c r="AD106" s="17"/>
    </row>
    <row r="107" spans="3:30" x14ac:dyDescent="0.2">
      <c r="C107" s="17" t="s">
        <v>273</v>
      </c>
      <c r="D107" s="34">
        <v>1125.567</v>
      </c>
      <c r="E107" s="34">
        <v>1101.3989999999999</v>
      </c>
      <c r="F107" s="34">
        <v>1060.001</v>
      </c>
      <c r="G107" s="34">
        <v>1027.991</v>
      </c>
      <c r="H107" s="34">
        <v>1027.991</v>
      </c>
      <c r="I107" s="34">
        <v>1104.316</v>
      </c>
      <c r="J107" s="34">
        <v>1252.6690000000001</v>
      </c>
      <c r="K107" s="34">
        <v>1312.0830000000001</v>
      </c>
      <c r="L107" s="40"/>
      <c r="M107" s="40"/>
      <c r="N107" s="40"/>
      <c r="O107" s="40"/>
      <c r="P107" s="40"/>
      <c r="Q107" s="40"/>
      <c r="R107" s="40"/>
      <c r="S107" s="40"/>
      <c r="T107" s="40"/>
      <c r="U107" s="40"/>
      <c r="V107" s="40"/>
      <c r="W107" s="40"/>
      <c r="X107" s="17"/>
      <c r="Y107" s="17"/>
      <c r="Z107" s="17"/>
      <c r="AA107" s="17"/>
      <c r="AB107" s="17"/>
      <c r="AC107" s="17"/>
      <c r="AD107" s="17"/>
    </row>
    <row r="108" spans="3:30" x14ac:dyDescent="0.2">
      <c r="C108" s="17" t="s">
        <v>600</v>
      </c>
      <c r="D108" s="34">
        <v>0</v>
      </c>
      <c r="E108" s="34">
        <v>0</v>
      </c>
      <c r="F108" s="34">
        <v>0</v>
      </c>
      <c r="G108" s="34">
        <v>0</v>
      </c>
      <c r="H108" s="34">
        <v>0</v>
      </c>
      <c r="I108" s="34">
        <v>82.680999999999997</v>
      </c>
      <c r="J108" s="34">
        <v>77.816000000000003</v>
      </c>
      <c r="K108" s="34">
        <v>72.94</v>
      </c>
      <c r="L108" s="40"/>
      <c r="M108" s="40"/>
      <c r="N108" s="40"/>
      <c r="O108" s="40"/>
      <c r="P108" s="40"/>
      <c r="Q108" s="40"/>
      <c r="R108" s="40"/>
      <c r="S108" s="40"/>
      <c r="T108" s="40"/>
      <c r="U108" s="40"/>
      <c r="V108" s="40"/>
      <c r="W108" s="40"/>
      <c r="X108" s="17"/>
      <c r="Y108" s="17"/>
      <c r="Z108" s="17"/>
      <c r="AA108" s="17"/>
      <c r="AB108" s="17"/>
      <c r="AC108" s="17"/>
      <c r="AD108" s="17"/>
    </row>
    <row r="109" spans="3:30" x14ac:dyDescent="0.2">
      <c r="C109" s="17" t="s">
        <v>601</v>
      </c>
      <c r="D109" s="34">
        <v>101.4</v>
      </c>
      <c r="E109" s="34">
        <v>96.822999999999993</v>
      </c>
      <c r="F109" s="34">
        <v>92.241</v>
      </c>
      <c r="G109" s="34">
        <v>87.587999999999994</v>
      </c>
      <c r="H109" s="34">
        <v>87.587999999999994</v>
      </c>
      <c r="I109" s="34">
        <v>11.576000000000001</v>
      </c>
      <c r="J109" s="34">
        <v>10.907</v>
      </c>
      <c r="K109" s="34">
        <v>10.262</v>
      </c>
      <c r="L109" s="40"/>
      <c r="M109" s="40"/>
      <c r="N109" s="40"/>
      <c r="O109" s="40"/>
      <c r="P109" s="40"/>
      <c r="Q109" s="40"/>
      <c r="R109" s="40"/>
      <c r="S109" s="40"/>
      <c r="T109" s="40"/>
      <c r="U109" s="40"/>
      <c r="V109" s="40"/>
      <c r="W109" s="40"/>
      <c r="X109" s="17"/>
      <c r="Y109" s="17"/>
      <c r="Z109" s="17"/>
      <c r="AA109" s="17"/>
      <c r="AB109" s="17"/>
      <c r="AC109" s="17"/>
      <c r="AD109" s="17"/>
    </row>
    <row r="110" spans="3:30" x14ac:dyDescent="0.2">
      <c r="C110" s="17" t="s">
        <v>602</v>
      </c>
      <c r="D110" s="34">
        <v>14.276999999999999</v>
      </c>
      <c r="E110" s="34">
        <v>21.15</v>
      </c>
      <c r="F110" s="34">
        <v>19.481000000000002</v>
      </c>
      <c r="G110" s="34">
        <v>13.051</v>
      </c>
      <c r="H110" s="34">
        <v>13.051</v>
      </c>
      <c r="I110" s="34">
        <v>3.3889999999999998</v>
      </c>
      <c r="J110" s="34">
        <v>3.8250000000000002</v>
      </c>
      <c r="K110" s="34">
        <v>3.198</v>
      </c>
      <c r="L110" s="40"/>
      <c r="M110" s="40"/>
      <c r="N110" s="40"/>
      <c r="O110" s="40"/>
      <c r="P110" s="40"/>
      <c r="Q110" s="40"/>
      <c r="R110" s="40"/>
      <c r="S110" s="40"/>
      <c r="T110" s="40"/>
      <c r="U110" s="40"/>
      <c r="V110" s="40"/>
      <c r="W110" s="40"/>
      <c r="X110" s="17"/>
      <c r="Y110" s="17"/>
      <c r="Z110" s="17"/>
      <c r="AA110" s="17"/>
      <c r="AB110" s="17"/>
      <c r="AC110" s="17"/>
      <c r="AD110" s="17"/>
    </row>
    <row r="111" spans="3:30" x14ac:dyDescent="0.2">
      <c r="C111" s="32" t="s">
        <v>160</v>
      </c>
      <c r="D111" s="33">
        <f t="shared" ref="D111:W111" si="10">SUM(D107:D110)</f>
        <v>1241.2440000000001</v>
      </c>
      <c r="E111" s="33">
        <f t="shared" si="10"/>
        <v>1219.3720000000001</v>
      </c>
      <c r="F111" s="33">
        <f t="shared" si="10"/>
        <v>1171.723</v>
      </c>
      <c r="G111" s="33">
        <f t="shared" si="10"/>
        <v>1128.6299999999999</v>
      </c>
      <c r="H111" s="33">
        <f t="shared" si="10"/>
        <v>1128.6299999999999</v>
      </c>
      <c r="I111" s="33">
        <f t="shared" si="10"/>
        <v>1201.962</v>
      </c>
      <c r="J111" s="33">
        <f t="shared" si="10"/>
        <v>1345.2170000000001</v>
      </c>
      <c r="K111" s="33">
        <f t="shared" si="10"/>
        <v>1398.4830000000002</v>
      </c>
      <c r="L111" s="33">
        <f t="shared" si="10"/>
        <v>0</v>
      </c>
      <c r="M111" s="33">
        <f t="shared" si="10"/>
        <v>0</v>
      </c>
      <c r="N111" s="33">
        <f t="shared" si="10"/>
        <v>0</v>
      </c>
      <c r="O111" s="33">
        <f t="shared" si="10"/>
        <v>0</v>
      </c>
      <c r="P111" s="33">
        <f t="shared" si="10"/>
        <v>0</v>
      </c>
      <c r="Q111" s="33">
        <f t="shared" si="10"/>
        <v>0</v>
      </c>
      <c r="R111" s="33">
        <f t="shared" si="10"/>
        <v>0</v>
      </c>
      <c r="S111" s="33">
        <f t="shared" si="10"/>
        <v>0</v>
      </c>
      <c r="T111" s="33">
        <f t="shared" si="10"/>
        <v>0</v>
      </c>
      <c r="U111" s="33">
        <f t="shared" si="10"/>
        <v>0</v>
      </c>
      <c r="V111" s="33">
        <f t="shared" si="10"/>
        <v>0</v>
      </c>
      <c r="W111" s="33">
        <f t="shared" si="10"/>
        <v>0</v>
      </c>
      <c r="X111" s="17"/>
      <c r="Y111" s="17"/>
      <c r="Z111" s="17"/>
      <c r="AA111" s="17"/>
      <c r="AB111" s="17"/>
      <c r="AC111" s="17"/>
      <c r="AD111" s="17"/>
    </row>
    <row r="112" spans="3:30" ht="5.0999999999999996" customHeight="1" x14ac:dyDescent="0.2">
      <c r="D112" s="37"/>
      <c r="E112" s="37"/>
      <c r="F112" s="37"/>
      <c r="G112" s="37"/>
      <c r="H112" s="37"/>
      <c r="I112" s="37"/>
      <c r="J112" s="37"/>
      <c r="K112" s="37"/>
      <c r="X112" s="17"/>
      <c r="Y112" s="17"/>
      <c r="Z112" s="17"/>
      <c r="AA112" s="17"/>
      <c r="AB112" s="17"/>
      <c r="AC112" s="17"/>
      <c r="AD112" s="17"/>
    </row>
    <row r="113" spans="3:30" x14ac:dyDescent="0.2">
      <c r="C113" s="17" t="s">
        <v>592</v>
      </c>
      <c r="D113" s="34">
        <v>104.355</v>
      </c>
      <c r="E113" s="34">
        <v>96.07</v>
      </c>
      <c r="F113" s="34">
        <v>94.46</v>
      </c>
      <c r="G113" s="34">
        <v>92.864999999999995</v>
      </c>
      <c r="H113" s="34">
        <v>92.864999999999995</v>
      </c>
      <c r="I113" s="34">
        <v>97.402000000000001</v>
      </c>
      <c r="J113" s="34">
        <v>106.372</v>
      </c>
      <c r="K113" s="34">
        <v>109.309</v>
      </c>
      <c r="L113" s="40"/>
      <c r="M113" s="40"/>
      <c r="N113" s="40"/>
      <c r="O113" s="40"/>
      <c r="P113" s="40"/>
      <c r="Q113" s="40"/>
      <c r="R113" s="40"/>
      <c r="S113" s="40"/>
      <c r="T113" s="40"/>
      <c r="U113" s="40"/>
      <c r="V113" s="40"/>
      <c r="W113" s="40"/>
      <c r="X113" s="17"/>
      <c r="Y113" s="17"/>
      <c r="Z113" s="17"/>
      <c r="AA113" s="17"/>
      <c r="AB113" s="17"/>
      <c r="AC113" s="17"/>
      <c r="AD113" s="17"/>
    </row>
    <row r="114" spans="3:30" x14ac:dyDescent="0.2">
      <c r="C114" s="17" t="s">
        <v>593</v>
      </c>
      <c r="D114" s="34">
        <v>0</v>
      </c>
      <c r="E114" s="34">
        <v>0</v>
      </c>
      <c r="F114" s="34">
        <v>0</v>
      </c>
      <c r="G114" s="34">
        <v>0</v>
      </c>
      <c r="H114" s="34">
        <v>0</v>
      </c>
      <c r="I114" s="34">
        <v>18.72</v>
      </c>
      <c r="J114" s="34">
        <v>19.007000000000001</v>
      </c>
      <c r="K114" s="34">
        <v>33.603999999999999</v>
      </c>
      <c r="L114" s="40"/>
      <c r="M114" s="40"/>
      <c r="N114" s="40"/>
      <c r="O114" s="40"/>
      <c r="P114" s="40"/>
      <c r="Q114" s="40"/>
      <c r="R114" s="40"/>
      <c r="S114" s="40"/>
      <c r="T114" s="40"/>
      <c r="U114" s="40"/>
      <c r="V114" s="40"/>
      <c r="W114" s="40"/>
      <c r="X114" s="17"/>
      <c r="Y114" s="17"/>
      <c r="Z114" s="17"/>
      <c r="AA114" s="17"/>
      <c r="AB114" s="17"/>
      <c r="AC114" s="17"/>
      <c r="AD114" s="17"/>
    </row>
    <row r="115" spans="3:30" x14ac:dyDescent="0.2">
      <c r="C115" s="17" t="s">
        <v>594</v>
      </c>
      <c r="D115" s="34">
        <v>20.146999999999998</v>
      </c>
      <c r="E115" s="34">
        <v>18.516999999999999</v>
      </c>
      <c r="F115" s="34">
        <v>18.106000000000002</v>
      </c>
      <c r="G115" s="34">
        <v>18.387</v>
      </c>
      <c r="H115" s="34">
        <v>18.387</v>
      </c>
      <c r="I115" s="34">
        <v>5.6459999999999999</v>
      </c>
      <c r="J115" s="34">
        <v>4.9000000000000004</v>
      </c>
      <c r="K115" s="34">
        <v>2.5649999999999999</v>
      </c>
      <c r="L115" s="40"/>
      <c r="M115" s="40"/>
      <c r="N115" s="40"/>
      <c r="O115" s="40"/>
      <c r="P115" s="40"/>
      <c r="Q115" s="40"/>
      <c r="R115" s="40"/>
      <c r="S115" s="40"/>
      <c r="T115" s="40"/>
      <c r="U115" s="40"/>
      <c r="V115" s="40"/>
      <c r="W115" s="40"/>
      <c r="X115" s="17"/>
      <c r="Y115" s="17"/>
      <c r="Z115" s="17"/>
      <c r="AA115" s="17"/>
      <c r="AB115" s="17"/>
      <c r="AC115" s="17"/>
      <c r="AD115" s="17"/>
    </row>
    <row r="116" spans="3:30" x14ac:dyDescent="0.2">
      <c r="C116" s="17" t="s">
        <v>595</v>
      </c>
      <c r="D116" s="34">
        <v>19.239999999999998</v>
      </c>
      <c r="E116" s="34">
        <v>11.695</v>
      </c>
      <c r="F116" s="34">
        <v>14.754</v>
      </c>
      <c r="G116" s="34">
        <v>5.5460000000000003</v>
      </c>
      <c r="H116" s="34">
        <v>5.5460000000000003</v>
      </c>
      <c r="I116" s="34">
        <v>0</v>
      </c>
      <c r="J116" s="34">
        <v>0</v>
      </c>
      <c r="K116" s="34">
        <v>0</v>
      </c>
      <c r="L116" s="40"/>
      <c r="M116" s="40"/>
      <c r="N116" s="40"/>
      <c r="O116" s="40"/>
      <c r="P116" s="40"/>
      <c r="Q116" s="40"/>
      <c r="R116" s="40"/>
      <c r="S116" s="40"/>
      <c r="T116" s="40"/>
      <c r="U116" s="40"/>
      <c r="V116" s="40"/>
      <c r="W116" s="40"/>
      <c r="X116" s="17"/>
      <c r="Y116" s="17"/>
      <c r="Z116" s="17"/>
      <c r="AA116" s="17"/>
      <c r="AB116" s="17"/>
      <c r="AC116" s="17"/>
      <c r="AD116" s="17"/>
    </row>
    <row r="117" spans="3:30" x14ac:dyDescent="0.2">
      <c r="C117" s="17" t="s">
        <v>596</v>
      </c>
      <c r="D117" s="34">
        <v>0</v>
      </c>
      <c r="E117" s="34">
        <v>0</v>
      </c>
      <c r="F117" s="34">
        <v>0</v>
      </c>
      <c r="G117" s="34">
        <v>1.3129999999999999</v>
      </c>
      <c r="H117" s="34">
        <v>1.3129999999999999</v>
      </c>
      <c r="I117" s="34">
        <v>0</v>
      </c>
      <c r="J117" s="34">
        <v>0</v>
      </c>
      <c r="K117" s="34">
        <v>0</v>
      </c>
      <c r="L117" s="40"/>
      <c r="M117" s="40"/>
      <c r="N117" s="40"/>
      <c r="O117" s="40"/>
      <c r="P117" s="40"/>
      <c r="Q117" s="40"/>
      <c r="R117" s="40"/>
      <c r="S117" s="40"/>
      <c r="T117" s="40"/>
      <c r="U117" s="40"/>
      <c r="V117" s="40"/>
      <c r="W117" s="40"/>
      <c r="X117" s="17"/>
      <c r="Y117" s="17"/>
      <c r="Z117" s="17"/>
      <c r="AA117" s="17"/>
      <c r="AB117" s="17"/>
      <c r="AC117" s="17"/>
      <c r="AD117" s="17"/>
    </row>
    <row r="118" spans="3:30" x14ac:dyDescent="0.2">
      <c r="C118" s="17" t="s">
        <v>597</v>
      </c>
      <c r="D118" s="34">
        <v>0</v>
      </c>
      <c r="E118" s="34">
        <v>0</v>
      </c>
      <c r="F118" s="34">
        <v>0</v>
      </c>
      <c r="G118" s="34">
        <v>9.4920000000000009</v>
      </c>
      <c r="H118" s="34">
        <v>9.4920000000000009</v>
      </c>
      <c r="I118" s="34">
        <v>0</v>
      </c>
      <c r="J118" s="34">
        <v>0</v>
      </c>
      <c r="K118" s="34">
        <v>0</v>
      </c>
      <c r="L118" s="40"/>
      <c r="M118" s="40"/>
      <c r="N118" s="40"/>
      <c r="O118" s="40"/>
      <c r="P118" s="40"/>
      <c r="Q118" s="40"/>
      <c r="R118" s="40"/>
      <c r="S118" s="40"/>
      <c r="T118" s="40"/>
      <c r="U118" s="40"/>
      <c r="V118" s="40"/>
      <c r="W118" s="40"/>
      <c r="X118" s="17"/>
      <c r="Y118" s="17"/>
      <c r="Z118" s="17"/>
      <c r="AA118" s="17"/>
      <c r="AB118" s="17"/>
      <c r="AC118" s="17"/>
      <c r="AD118" s="17"/>
    </row>
    <row r="119" spans="3:30" x14ac:dyDescent="0.2">
      <c r="C119" s="17" t="s">
        <v>598</v>
      </c>
      <c r="D119" s="34">
        <v>0</v>
      </c>
      <c r="E119" s="34">
        <v>0</v>
      </c>
      <c r="F119" s="34">
        <v>0</v>
      </c>
      <c r="G119" s="34">
        <v>7.1429999999999998</v>
      </c>
      <c r="H119" s="34">
        <v>7.1429999999999998</v>
      </c>
      <c r="I119" s="34">
        <v>0</v>
      </c>
      <c r="J119" s="34">
        <v>0</v>
      </c>
      <c r="K119" s="34">
        <v>0</v>
      </c>
      <c r="L119" s="40"/>
      <c r="M119" s="40"/>
      <c r="N119" s="40"/>
      <c r="O119" s="40"/>
      <c r="P119" s="40"/>
      <c r="Q119" s="40"/>
      <c r="R119" s="40"/>
      <c r="S119" s="40"/>
      <c r="T119" s="40"/>
      <c r="U119" s="40"/>
      <c r="V119" s="40"/>
      <c r="W119" s="40"/>
      <c r="X119" s="17"/>
      <c r="Y119" s="17"/>
      <c r="Z119" s="17"/>
      <c r="AA119" s="17"/>
      <c r="AB119" s="17"/>
      <c r="AC119" s="17"/>
      <c r="AD119" s="17"/>
    </row>
    <row r="120" spans="3:30" x14ac:dyDescent="0.2">
      <c r="C120" s="17" t="s">
        <v>117</v>
      </c>
      <c r="D120" s="34">
        <v>0</v>
      </c>
      <c r="E120" s="34">
        <v>0</v>
      </c>
      <c r="F120" s="34">
        <v>0</v>
      </c>
      <c r="G120" s="34">
        <v>43.387999999999998</v>
      </c>
      <c r="H120" s="34">
        <v>43.387999999999998</v>
      </c>
      <c r="I120" s="34">
        <v>0</v>
      </c>
      <c r="J120" s="34">
        <v>0</v>
      </c>
      <c r="K120" s="34">
        <v>0</v>
      </c>
      <c r="L120" s="40"/>
      <c r="M120" s="40"/>
      <c r="N120" s="40"/>
      <c r="O120" s="40"/>
      <c r="P120" s="40"/>
      <c r="Q120" s="40"/>
      <c r="R120" s="40"/>
      <c r="S120" s="40"/>
      <c r="T120" s="40"/>
      <c r="U120" s="40"/>
      <c r="V120" s="40"/>
      <c r="W120" s="40"/>
      <c r="X120" s="17"/>
      <c r="Y120" s="17"/>
      <c r="Z120" s="17"/>
      <c r="AA120" s="17"/>
      <c r="AB120" s="17"/>
      <c r="AC120" s="17"/>
      <c r="AD120" s="17"/>
    </row>
    <row r="121" spans="3:30" x14ac:dyDescent="0.2">
      <c r="C121" s="17" t="s">
        <v>599</v>
      </c>
      <c r="D121" s="34">
        <v>102.63500000000001</v>
      </c>
      <c r="E121" s="34">
        <v>103.943</v>
      </c>
      <c r="F121" s="34">
        <v>103.191</v>
      </c>
      <c r="G121" s="34">
        <v>33.494</v>
      </c>
      <c r="H121" s="34">
        <v>33.494</v>
      </c>
      <c r="I121" s="34">
        <v>123.06699999999999</v>
      </c>
      <c r="J121" s="34">
        <v>113.054</v>
      </c>
      <c r="K121" s="34">
        <v>115.117</v>
      </c>
      <c r="L121" s="40"/>
      <c r="M121" s="40"/>
      <c r="N121" s="40"/>
      <c r="O121" s="40"/>
      <c r="P121" s="40"/>
      <c r="Q121" s="40"/>
      <c r="R121" s="40"/>
      <c r="S121" s="40"/>
      <c r="T121" s="40"/>
      <c r="U121" s="40"/>
      <c r="V121" s="40"/>
      <c r="W121" s="40"/>
      <c r="X121" s="17"/>
      <c r="Y121" s="17"/>
      <c r="Z121" s="17"/>
      <c r="AA121" s="17"/>
      <c r="AB121" s="17"/>
      <c r="AC121" s="17"/>
      <c r="AD121" s="17"/>
    </row>
    <row r="122" spans="3:30" x14ac:dyDescent="0.2">
      <c r="C122" s="32" t="s">
        <v>163</v>
      </c>
      <c r="D122" s="33">
        <f t="shared" ref="D122:W122" si="11">SUM(D113:D121)</f>
        <v>246.37700000000001</v>
      </c>
      <c r="E122" s="33">
        <f t="shared" si="11"/>
        <v>230.22499999999997</v>
      </c>
      <c r="F122" s="33">
        <f t="shared" si="11"/>
        <v>230.51100000000002</v>
      </c>
      <c r="G122" s="33">
        <f t="shared" si="11"/>
        <v>211.62800000000001</v>
      </c>
      <c r="H122" s="33">
        <f t="shared" si="11"/>
        <v>211.62800000000001</v>
      </c>
      <c r="I122" s="33">
        <f t="shared" si="11"/>
        <v>244.83499999999998</v>
      </c>
      <c r="J122" s="33">
        <f t="shared" si="11"/>
        <v>243.333</v>
      </c>
      <c r="K122" s="33">
        <f t="shared" si="11"/>
        <v>260.59500000000003</v>
      </c>
      <c r="L122" s="33">
        <f t="shared" si="11"/>
        <v>0</v>
      </c>
      <c r="M122" s="33">
        <f t="shared" si="11"/>
        <v>0</v>
      </c>
      <c r="N122" s="33">
        <f t="shared" si="11"/>
        <v>0</v>
      </c>
      <c r="O122" s="33">
        <f t="shared" si="11"/>
        <v>0</v>
      </c>
      <c r="P122" s="33">
        <f t="shared" si="11"/>
        <v>0</v>
      </c>
      <c r="Q122" s="33">
        <f t="shared" si="11"/>
        <v>0</v>
      </c>
      <c r="R122" s="33">
        <f t="shared" si="11"/>
        <v>0</v>
      </c>
      <c r="S122" s="33">
        <f t="shared" si="11"/>
        <v>0</v>
      </c>
      <c r="T122" s="33">
        <f t="shared" si="11"/>
        <v>0</v>
      </c>
      <c r="U122" s="33">
        <f t="shared" si="11"/>
        <v>0</v>
      </c>
      <c r="V122" s="33">
        <f t="shared" si="11"/>
        <v>0</v>
      </c>
      <c r="W122" s="33">
        <f t="shared" si="11"/>
        <v>0</v>
      </c>
      <c r="X122" s="17"/>
      <c r="Y122" s="17"/>
      <c r="Z122" s="17"/>
      <c r="AA122" s="17"/>
      <c r="AB122" s="17"/>
      <c r="AC122" s="17"/>
      <c r="AD122" s="17"/>
    </row>
    <row r="123" spans="3:30" ht="5.0999999999999996" customHeight="1" x14ac:dyDescent="0.2">
      <c r="D123" s="37"/>
      <c r="E123" s="37"/>
      <c r="F123" s="37"/>
      <c r="G123" s="37"/>
      <c r="H123" s="37"/>
      <c r="I123" s="37"/>
      <c r="J123" s="37"/>
      <c r="K123" s="37"/>
      <c r="X123" s="17"/>
      <c r="Y123" s="17"/>
      <c r="Z123" s="17"/>
      <c r="AA123" s="17"/>
      <c r="AB123" s="17"/>
      <c r="AC123" s="17"/>
      <c r="AD123" s="17"/>
    </row>
    <row r="124" spans="3:30" x14ac:dyDescent="0.2">
      <c r="C124" s="32" t="s">
        <v>164</v>
      </c>
      <c r="D124" s="41">
        <v>1873.82</v>
      </c>
      <c r="E124" s="41">
        <v>1938.1079999999999</v>
      </c>
      <c r="F124" s="41">
        <v>1922.277</v>
      </c>
      <c r="G124" s="41">
        <v>1917.0329999999999</v>
      </c>
      <c r="H124" s="41">
        <v>1917.0329999999999</v>
      </c>
      <c r="I124" s="41">
        <v>1867.7439999999999</v>
      </c>
      <c r="J124" s="41">
        <v>1875.731</v>
      </c>
      <c r="K124" s="41">
        <v>1884.3689999999999</v>
      </c>
      <c r="L124" s="33"/>
      <c r="M124" s="33"/>
      <c r="N124" s="33"/>
      <c r="O124" s="33"/>
      <c r="P124" s="33"/>
      <c r="Q124" s="33"/>
      <c r="R124" s="33"/>
      <c r="S124" s="33"/>
      <c r="T124" s="33"/>
      <c r="U124" s="33"/>
      <c r="V124" s="33"/>
      <c r="W124" s="33"/>
      <c r="X124" s="17"/>
      <c r="Y124" s="17"/>
      <c r="Z124" s="17"/>
      <c r="AA124" s="17"/>
      <c r="AB124" s="17"/>
      <c r="AC124" s="17"/>
      <c r="AD124" s="17"/>
    </row>
    <row r="125" spans="3:30" x14ac:dyDescent="0.2">
      <c r="C125" s="17" t="s">
        <v>165</v>
      </c>
      <c r="D125" s="37">
        <f t="shared" ref="D125:W125" si="12">ROUNDDOWN(+D92+D105-D111-D122-D124,2)</f>
        <v>0</v>
      </c>
      <c r="E125" s="37">
        <f t="shared" si="12"/>
        <v>0</v>
      </c>
      <c r="F125" s="37">
        <f t="shared" si="12"/>
        <v>0</v>
      </c>
      <c r="G125" s="37">
        <f t="shared" si="12"/>
        <v>0</v>
      </c>
      <c r="H125" s="37">
        <f t="shared" si="12"/>
        <v>0</v>
      </c>
      <c r="I125" s="37">
        <f t="shared" si="12"/>
        <v>0</v>
      </c>
      <c r="J125" s="37">
        <f t="shared" si="12"/>
        <v>0</v>
      </c>
      <c r="K125" s="37">
        <f t="shared" si="12"/>
        <v>0</v>
      </c>
      <c r="L125" s="37">
        <f t="shared" si="12"/>
        <v>0</v>
      </c>
      <c r="M125" s="37">
        <f t="shared" si="12"/>
        <v>0</v>
      </c>
      <c r="N125" s="37">
        <f t="shared" si="12"/>
        <v>0</v>
      </c>
      <c r="O125" s="37">
        <f t="shared" si="12"/>
        <v>0</v>
      </c>
      <c r="P125" s="37">
        <f t="shared" si="12"/>
        <v>0</v>
      </c>
      <c r="Q125" s="37">
        <f t="shared" si="12"/>
        <v>0</v>
      </c>
      <c r="R125" s="37">
        <f t="shared" si="12"/>
        <v>0</v>
      </c>
      <c r="S125" s="37">
        <f t="shared" si="12"/>
        <v>0</v>
      </c>
      <c r="T125" s="37">
        <f t="shared" si="12"/>
        <v>0</v>
      </c>
      <c r="U125" s="37">
        <f t="shared" si="12"/>
        <v>0</v>
      </c>
      <c r="V125" s="37">
        <f t="shared" si="12"/>
        <v>0</v>
      </c>
      <c r="W125" s="37">
        <f t="shared" si="12"/>
        <v>0</v>
      </c>
      <c r="X125" s="17"/>
      <c r="Y125" s="17"/>
      <c r="Z125" s="17"/>
      <c r="AA125" s="17"/>
      <c r="AB125" s="17"/>
      <c r="AC125" s="17"/>
      <c r="AD125" s="17"/>
    </row>
    <row r="126" spans="3:30" ht="5.0999999999999996" customHeight="1" x14ac:dyDescent="0.2">
      <c r="D126" s="37"/>
      <c r="E126" s="37"/>
      <c r="F126" s="37"/>
      <c r="G126" s="37"/>
      <c r="H126" s="37"/>
      <c r="I126" s="37"/>
      <c r="J126" s="37"/>
      <c r="K126" s="37"/>
      <c r="X126" s="17"/>
      <c r="Y126" s="17"/>
      <c r="Z126" s="17"/>
      <c r="AA126" s="17"/>
      <c r="AB126" s="17"/>
      <c r="AC126" s="17"/>
      <c r="AD126" s="17"/>
    </row>
    <row r="127" spans="3:30" x14ac:dyDescent="0.2">
      <c r="C127" s="30" t="s">
        <v>166</v>
      </c>
      <c r="D127" s="73"/>
      <c r="E127" s="73"/>
      <c r="F127" s="73"/>
      <c r="G127" s="73"/>
      <c r="H127" s="73"/>
      <c r="I127" s="73"/>
      <c r="J127" s="73"/>
      <c r="K127" s="73"/>
      <c r="L127" s="73"/>
      <c r="M127" s="73"/>
      <c r="N127" s="73"/>
      <c r="O127" s="73"/>
      <c r="P127" s="73"/>
      <c r="Q127" s="73"/>
      <c r="R127" s="73"/>
      <c r="S127" s="31"/>
      <c r="T127" s="31"/>
      <c r="U127" s="31"/>
      <c r="V127" s="31"/>
      <c r="W127" s="31"/>
      <c r="X127" s="17"/>
      <c r="Y127" s="17"/>
      <c r="Z127" s="17"/>
      <c r="AA127" s="17"/>
      <c r="AB127" s="17"/>
      <c r="AC127" s="17"/>
      <c r="AD127" s="17"/>
    </row>
    <row r="128" spans="3:30" x14ac:dyDescent="0.2">
      <c r="C128" s="17" t="s">
        <v>93</v>
      </c>
      <c r="D128" s="38">
        <f t="shared" ref="D128:K128" si="13">+D27/D129</f>
        <v>0.62525313302469343</v>
      </c>
      <c r="E128" s="38">
        <f t="shared" si="13"/>
        <v>0.81611989730253343</v>
      </c>
      <c r="F128" s="38">
        <f t="shared" si="13"/>
        <v>0.52052008242043379</v>
      </c>
      <c r="G128" s="38">
        <f t="shared" si="13"/>
        <v>0.34021392486795837</v>
      </c>
      <c r="H128" s="38">
        <f t="shared" si="13"/>
        <v>2.3036415165155408</v>
      </c>
      <c r="I128" s="38">
        <f t="shared" si="13"/>
        <v>-4.4016786531498035E-2</v>
      </c>
      <c r="J128" s="38">
        <f t="shared" si="13"/>
        <v>0.17488433135787887</v>
      </c>
      <c r="K128" s="38" t="e">
        <f t="shared" si="13"/>
        <v>#DIV/0!</v>
      </c>
      <c r="X128" s="17"/>
      <c r="Y128" s="17"/>
      <c r="Z128" s="17"/>
      <c r="AA128" s="17"/>
      <c r="AB128" s="17"/>
      <c r="AC128" s="17"/>
      <c r="AD128" s="17"/>
    </row>
    <row r="129" spans="3:36" s="20" customFormat="1" x14ac:dyDescent="0.2">
      <c r="C129" s="17" t="s">
        <v>95</v>
      </c>
      <c r="D129" s="34">
        <v>200.435621</v>
      </c>
      <c r="E129" s="34">
        <v>200.64331300000001</v>
      </c>
      <c r="F129" s="34">
        <v>200.88562099999999</v>
      </c>
      <c r="G129" s="34">
        <v>200.48562100000001</v>
      </c>
      <c r="H129" s="34">
        <v>200.48562100000001</v>
      </c>
      <c r="I129" s="34">
        <v>200.42353600000001</v>
      </c>
      <c r="J129" s="34">
        <v>199.50329300000001</v>
      </c>
      <c r="K129" s="34"/>
      <c r="AI129" s="21"/>
      <c r="AJ129" s="21"/>
    </row>
    <row r="130" spans="3:36" s="20" customFormat="1" ht="5.0999999999999996" customHeight="1" x14ac:dyDescent="0.2">
      <c r="C130" s="17"/>
      <c r="D130" s="1"/>
      <c r="E130" s="1"/>
      <c r="F130" s="1"/>
      <c r="G130" s="1"/>
      <c r="H130" s="1"/>
      <c r="I130" s="1"/>
      <c r="J130" s="1"/>
      <c r="K130" s="1"/>
      <c r="AI130" s="21"/>
      <c r="AJ130" s="21"/>
    </row>
    <row r="131" spans="3:36" s="20" customFormat="1" x14ac:dyDescent="0.2">
      <c r="C131" s="42" t="s">
        <v>172</v>
      </c>
      <c r="D131" s="37">
        <f t="shared" ref="D131:W131" si="14">+D107+D108+D109+D110+D113+D114+D115+D116+D117+D118</f>
        <v>1384.9860000000001</v>
      </c>
      <c r="E131" s="37">
        <f t="shared" si="14"/>
        <v>1345.654</v>
      </c>
      <c r="F131" s="37">
        <f t="shared" si="14"/>
        <v>1299.0429999999999</v>
      </c>
      <c r="G131" s="37">
        <f t="shared" si="14"/>
        <v>1256.2329999999999</v>
      </c>
      <c r="H131" s="37">
        <f t="shared" si="14"/>
        <v>1256.2329999999999</v>
      </c>
      <c r="I131" s="37">
        <f t="shared" si="14"/>
        <v>1323.73</v>
      </c>
      <c r="J131" s="37">
        <f t="shared" si="14"/>
        <v>1475.4960000000003</v>
      </c>
      <c r="K131" s="37">
        <f t="shared" si="14"/>
        <v>1543.9610000000002</v>
      </c>
      <c r="L131" s="37">
        <f t="shared" si="14"/>
        <v>0</v>
      </c>
      <c r="M131" s="37">
        <f t="shared" si="14"/>
        <v>0</v>
      </c>
      <c r="N131" s="37">
        <f t="shared" si="14"/>
        <v>0</v>
      </c>
      <c r="O131" s="37">
        <f t="shared" si="14"/>
        <v>0</v>
      </c>
      <c r="P131" s="37">
        <f t="shared" si="14"/>
        <v>0</v>
      </c>
      <c r="Q131" s="37">
        <f t="shared" si="14"/>
        <v>0</v>
      </c>
      <c r="R131" s="37">
        <f t="shared" si="14"/>
        <v>0</v>
      </c>
      <c r="S131" s="37">
        <f t="shared" si="14"/>
        <v>0</v>
      </c>
      <c r="T131" s="37">
        <f t="shared" si="14"/>
        <v>0</v>
      </c>
      <c r="U131" s="37">
        <f t="shared" si="14"/>
        <v>0</v>
      </c>
      <c r="V131" s="37">
        <f t="shared" si="14"/>
        <v>0</v>
      </c>
      <c r="W131" s="37">
        <f t="shared" si="14"/>
        <v>0</v>
      </c>
      <c r="AI131" s="21"/>
      <c r="AJ131" s="21"/>
    </row>
    <row r="132" spans="3:36" s="20" customFormat="1" x14ac:dyDescent="0.2">
      <c r="C132" s="17" t="s">
        <v>173</v>
      </c>
      <c r="D132" s="37">
        <f t="shared" ref="D132:W132" si="15">+D89+D90+D94+D95+D96+D99+D100</f>
        <v>115.72099999999999</v>
      </c>
      <c r="E132" s="37">
        <f t="shared" si="15"/>
        <v>168.321</v>
      </c>
      <c r="F132" s="37">
        <f t="shared" si="15"/>
        <v>132.25500000000002</v>
      </c>
      <c r="G132" s="37">
        <f t="shared" si="15"/>
        <v>176.554</v>
      </c>
      <c r="H132" s="37">
        <f t="shared" si="15"/>
        <v>176.554</v>
      </c>
      <c r="I132" s="37">
        <f t="shared" si="15"/>
        <v>123.24</v>
      </c>
      <c r="J132" s="37">
        <f t="shared" si="15"/>
        <v>107.32300000000001</v>
      </c>
      <c r="K132" s="37">
        <f t="shared" si="15"/>
        <v>99.74</v>
      </c>
      <c r="L132" s="37">
        <f t="shared" si="15"/>
        <v>0</v>
      </c>
      <c r="M132" s="37">
        <f t="shared" si="15"/>
        <v>0</v>
      </c>
      <c r="N132" s="37">
        <f t="shared" si="15"/>
        <v>0</v>
      </c>
      <c r="O132" s="37">
        <f t="shared" si="15"/>
        <v>0</v>
      </c>
      <c r="P132" s="37">
        <f t="shared" si="15"/>
        <v>0</v>
      </c>
      <c r="Q132" s="37">
        <f t="shared" si="15"/>
        <v>0</v>
      </c>
      <c r="R132" s="37">
        <f t="shared" si="15"/>
        <v>0</v>
      </c>
      <c r="S132" s="37">
        <f t="shared" si="15"/>
        <v>0</v>
      </c>
      <c r="T132" s="37">
        <f t="shared" si="15"/>
        <v>0</v>
      </c>
      <c r="U132" s="37">
        <f t="shared" si="15"/>
        <v>0</v>
      </c>
      <c r="V132" s="37">
        <f t="shared" si="15"/>
        <v>0</v>
      </c>
      <c r="W132" s="37">
        <f t="shared" si="15"/>
        <v>0</v>
      </c>
      <c r="AI132" s="21"/>
      <c r="AJ132" s="21"/>
    </row>
    <row r="133" spans="3:36" s="20" customFormat="1" x14ac:dyDescent="0.2">
      <c r="C133" s="17" t="s">
        <v>174</v>
      </c>
      <c r="D133" s="37">
        <f t="shared" ref="D133:W133" si="16">+D131-D132</f>
        <v>1269.2650000000001</v>
      </c>
      <c r="E133" s="37">
        <f t="shared" si="16"/>
        <v>1177.3330000000001</v>
      </c>
      <c r="F133" s="37">
        <f t="shared" si="16"/>
        <v>1166.7879999999998</v>
      </c>
      <c r="G133" s="37">
        <f t="shared" si="16"/>
        <v>1079.6789999999999</v>
      </c>
      <c r="H133" s="37">
        <f t="shared" si="16"/>
        <v>1079.6789999999999</v>
      </c>
      <c r="I133" s="37">
        <f t="shared" si="16"/>
        <v>1200.49</v>
      </c>
      <c r="J133" s="37">
        <f t="shared" si="16"/>
        <v>1368.1730000000002</v>
      </c>
      <c r="K133" s="37">
        <f t="shared" si="16"/>
        <v>1444.2210000000002</v>
      </c>
      <c r="L133" s="37">
        <f t="shared" si="16"/>
        <v>0</v>
      </c>
      <c r="M133" s="37">
        <f t="shared" si="16"/>
        <v>0</v>
      </c>
      <c r="N133" s="37">
        <f t="shared" si="16"/>
        <v>0</v>
      </c>
      <c r="O133" s="37">
        <f t="shared" si="16"/>
        <v>0</v>
      </c>
      <c r="P133" s="37">
        <f t="shared" si="16"/>
        <v>0</v>
      </c>
      <c r="Q133" s="37">
        <f t="shared" si="16"/>
        <v>0</v>
      </c>
      <c r="R133" s="37">
        <f t="shared" si="16"/>
        <v>0</v>
      </c>
      <c r="S133" s="37">
        <f t="shared" si="16"/>
        <v>0</v>
      </c>
      <c r="T133" s="37">
        <f t="shared" si="16"/>
        <v>0</v>
      </c>
      <c r="U133" s="37">
        <f t="shared" si="16"/>
        <v>0</v>
      </c>
      <c r="V133" s="37">
        <f t="shared" si="16"/>
        <v>0</v>
      </c>
      <c r="W133" s="37">
        <f t="shared" si="16"/>
        <v>0</v>
      </c>
      <c r="AI133" s="21"/>
      <c r="AJ133" s="21"/>
    </row>
    <row r="134" spans="3:36" s="20" customFormat="1" x14ac:dyDescent="0.2">
      <c r="C134" s="17" t="s">
        <v>281</v>
      </c>
      <c r="D134" s="37"/>
      <c r="E134" s="37"/>
      <c r="F134" s="37"/>
      <c r="G134" s="37"/>
      <c r="H134" s="37"/>
      <c r="I134" s="37"/>
      <c r="J134" s="37"/>
      <c r="K134" s="37"/>
      <c r="L134" s="37"/>
      <c r="M134" s="37"/>
      <c r="N134" s="37"/>
      <c r="O134" s="37"/>
      <c r="P134" s="37"/>
      <c r="Q134" s="37"/>
      <c r="R134" s="37"/>
      <c r="S134" s="37"/>
      <c r="T134" s="37"/>
      <c r="U134" s="37"/>
      <c r="V134" s="37"/>
      <c r="W134" s="37"/>
      <c r="AI134" s="21"/>
      <c r="AJ134" s="21"/>
    </row>
    <row r="135" spans="3:36" s="20" customFormat="1" ht="5.0999999999999996" customHeight="1" x14ac:dyDescent="0.2">
      <c r="C135" s="17"/>
      <c r="D135" s="17"/>
      <c r="E135" s="17"/>
      <c r="F135" s="17"/>
      <c r="G135" s="17"/>
      <c r="H135" s="17"/>
      <c r="I135" s="17"/>
      <c r="J135" s="17"/>
      <c r="K135" s="17"/>
      <c r="AI135" s="21"/>
      <c r="AJ135" s="21"/>
    </row>
    <row r="136" spans="3:36" s="20" customFormat="1" x14ac:dyDescent="0.2">
      <c r="C136" s="17" t="s">
        <v>175</v>
      </c>
      <c r="D136" s="48">
        <f t="shared" ref="D136:K136" si="17">-(D20+D21)/D133</f>
        <v>7.8683332479821001E-3</v>
      </c>
      <c r="E136" s="48">
        <f t="shared" si="17"/>
        <v>1.0084657441862242E-2</v>
      </c>
      <c r="F136" s="48">
        <f t="shared" si="17"/>
        <v>1.2346715941542082E-2</v>
      </c>
      <c r="G136" s="48">
        <f t="shared" si="17"/>
        <v>1.6335410802655236E-2</v>
      </c>
      <c r="H136" s="48">
        <f t="shared" si="17"/>
        <v>4.9925024011766475E-2</v>
      </c>
      <c r="I136" s="48">
        <f t="shared" si="17"/>
        <v>1.7074694499745937E-2</v>
      </c>
      <c r="J136" s="48">
        <f t="shared" si="17"/>
        <v>1.6820972201614853E-2</v>
      </c>
      <c r="K136" s="48">
        <f t="shared" si="17"/>
        <v>1.9431236632066699E-2</v>
      </c>
      <c r="AI136" s="21"/>
      <c r="AJ136" s="21"/>
    </row>
    <row r="137" spans="3:36" s="20" customFormat="1" x14ac:dyDescent="0.2">
      <c r="C137" s="17" t="s">
        <v>176</v>
      </c>
      <c r="D137" s="37">
        <f>+(D82/(-D19*4))</f>
        <v>21.68603163347105</v>
      </c>
      <c r="E137" s="37">
        <f>+(D82/(-E19*4))</f>
        <v>21.619375115264031</v>
      </c>
      <c r="F137" s="37">
        <f>+(E82/(-F19*4))</f>
        <v>21.13003818086646</v>
      </c>
      <c r="G137" s="37">
        <f>+(F82/(-G19*4))</f>
        <v>20.979363462369577</v>
      </c>
      <c r="H137" s="37">
        <f>AVERAGE(D137:G137)</f>
        <v>21.35370209799278</v>
      </c>
      <c r="I137" s="37">
        <f>+(H82/(-I19*4))</f>
        <v>21.159038956091056</v>
      </c>
      <c r="J137" s="37">
        <f>+(I82/(-J19*4))</f>
        <v>20.660923596195151</v>
      </c>
      <c r="K137" s="37">
        <f>+(J82/(-K19*4))</f>
        <v>20.929448287593559</v>
      </c>
      <c r="L137" s="37"/>
      <c r="M137" s="37"/>
      <c r="AI137" s="21"/>
      <c r="AJ137" s="21"/>
    </row>
    <row r="138" spans="3:36" s="20" customFormat="1" x14ac:dyDescent="0.2">
      <c r="C138" s="17"/>
      <c r="D138" s="17"/>
      <c r="E138" s="17"/>
      <c r="F138" s="17"/>
      <c r="G138" s="17"/>
      <c r="H138" s="17"/>
      <c r="I138" s="17"/>
      <c r="J138" s="17"/>
      <c r="K138" s="17"/>
      <c r="L138" s="17"/>
      <c r="M138" s="17"/>
      <c r="N138" s="17"/>
      <c r="O138" s="17"/>
      <c r="P138" s="17"/>
      <c r="Q138" s="17"/>
      <c r="R138" s="17"/>
      <c r="AI138" s="21"/>
      <c r="AJ138" s="21"/>
    </row>
    <row r="139" spans="3:36" s="20" customFormat="1" x14ac:dyDescent="0.2">
      <c r="C139" s="30" t="s">
        <v>177</v>
      </c>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I139" s="21"/>
      <c r="AJ139" s="21"/>
    </row>
    <row r="140" spans="3:36" s="20" customFormat="1" x14ac:dyDescent="0.2">
      <c r="C140" s="49" t="s">
        <v>192</v>
      </c>
      <c r="D140" s="50" t="s">
        <v>193</v>
      </c>
      <c r="E140" s="51" t="s">
        <v>198</v>
      </c>
      <c r="F140" s="51" t="s">
        <v>197</v>
      </c>
      <c r="G140" s="52" t="s">
        <v>200</v>
      </c>
      <c r="H140" s="53" t="s">
        <v>194</v>
      </c>
      <c r="I140" s="53" t="s">
        <v>195</v>
      </c>
      <c r="J140" s="52" t="s">
        <v>196</v>
      </c>
      <c r="K140" s="52" t="s">
        <v>199</v>
      </c>
      <c r="L140" s="1"/>
      <c r="M140" s="1"/>
      <c r="N140" s="1"/>
      <c r="O140" s="1"/>
      <c r="P140" s="1"/>
      <c r="Q140" s="1"/>
      <c r="R140" s="1"/>
      <c r="AI140" s="21"/>
      <c r="AJ140" s="21"/>
    </row>
    <row r="141" spans="3:36" s="20" customFormat="1" x14ac:dyDescent="0.2">
      <c r="C141" s="17" t="s">
        <v>608</v>
      </c>
      <c r="D141" s="2" t="s">
        <v>604</v>
      </c>
      <c r="E141" s="34">
        <v>1</v>
      </c>
      <c r="F141" s="75"/>
      <c r="G141" s="1">
        <v>208000</v>
      </c>
      <c r="H141" s="54">
        <v>44197</v>
      </c>
      <c r="I141" s="54">
        <v>45334</v>
      </c>
      <c r="J141" s="56">
        <f>+(I141-H141)/365</f>
        <v>3.1150684931506851</v>
      </c>
      <c r="K141" s="1"/>
      <c r="L141" s="1"/>
      <c r="M141" s="1"/>
      <c r="N141" s="1"/>
      <c r="O141" s="1"/>
      <c r="P141" s="1"/>
      <c r="Q141" s="1"/>
      <c r="R141" s="1"/>
      <c r="AI141" s="21"/>
      <c r="AJ141" s="21"/>
    </row>
    <row r="142" spans="3:36" s="20" customFormat="1" x14ac:dyDescent="0.2">
      <c r="C142" s="17" t="s">
        <v>640</v>
      </c>
      <c r="D142" s="2" t="s">
        <v>604</v>
      </c>
      <c r="E142" s="34">
        <v>1</v>
      </c>
      <c r="F142" s="75"/>
      <c r="G142" s="1">
        <v>208000</v>
      </c>
      <c r="H142" s="55">
        <v>44197</v>
      </c>
      <c r="I142" s="55">
        <v>45334</v>
      </c>
      <c r="J142" s="56">
        <f t="shared" ref="J142:J205" si="18">+(I142-H142)/365</f>
        <v>3.1150684931506851</v>
      </c>
      <c r="K142" s="1"/>
      <c r="L142" s="1"/>
      <c r="M142" s="1"/>
      <c r="N142" s="1"/>
      <c r="O142" s="1"/>
      <c r="P142" s="1"/>
      <c r="Q142" s="1"/>
      <c r="R142" s="1"/>
      <c r="AI142" s="21"/>
      <c r="AJ142" s="21"/>
    </row>
    <row r="143" spans="3:36" s="20" customFormat="1" x14ac:dyDescent="0.2">
      <c r="C143" s="17" t="s">
        <v>645</v>
      </c>
      <c r="D143" s="2" t="s">
        <v>604</v>
      </c>
      <c r="E143" s="34">
        <v>1</v>
      </c>
      <c r="F143" s="75"/>
      <c r="G143" s="1">
        <v>210000</v>
      </c>
      <c r="H143" s="55">
        <v>44197</v>
      </c>
      <c r="I143" s="55">
        <v>45334</v>
      </c>
      <c r="J143" s="56">
        <f t="shared" si="18"/>
        <v>3.1150684931506851</v>
      </c>
      <c r="K143" s="1"/>
      <c r="L143" s="1"/>
      <c r="M143" s="1"/>
      <c r="N143" s="1"/>
      <c r="O143" s="1"/>
      <c r="P143" s="1"/>
      <c r="Q143" s="1"/>
      <c r="R143" s="1"/>
      <c r="AI143" s="21"/>
      <c r="AJ143" s="21"/>
    </row>
    <row r="144" spans="3:36" s="20" customFormat="1" x14ac:dyDescent="0.2">
      <c r="C144" s="17" t="s">
        <v>618</v>
      </c>
      <c r="D144" s="2" t="s">
        <v>604</v>
      </c>
      <c r="E144" s="34">
        <v>1</v>
      </c>
      <c r="F144" s="75"/>
      <c r="G144" s="1">
        <v>208000</v>
      </c>
      <c r="H144" s="55">
        <v>43831</v>
      </c>
      <c r="I144" s="55">
        <v>45334</v>
      </c>
      <c r="J144" s="56">
        <f t="shared" si="18"/>
        <v>4.117808219178082</v>
      </c>
      <c r="K144" s="1"/>
      <c r="L144" s="1"/>
      <c r="M144" s="1"/>
      <c r="N144" s="1"/>
      <c r="O144" s="1"/>
      <c r="P144" s="1"/>
      <c r="Q144" s="1"/>
      <c r="R144" s="1"/>
      <c r="AI144" s="21"/>
      <c r="AJ144" s="21"/>
    </row>
    <row r="145" spans="3:36" s="20" customFormat="1" x14ac:dyDescent="0.2">
      <c r="C145" s="17" t="s">
        <v>622</v>
      </c>
      <c r="D145" s="2" t="s">
        <v>604</v>
      </c>
      <c r="E145" s="34">
        <v>1</v>
      </c>
      <c r="F145" s="75"/>
      <c r="G145" s="1">
        <v>208000</v>
      </c>
      <c r="H145" s="55">
        <v>43831</v>
      </c>
      <c r="I145" s="55">
        <v>45334</v>
      </c>
      <c r="J145" s="56">
        <f t="shared" si="18"/>
        <v>4.117808219178082</v>
      </c>
      <c r="K145" s="1"/>
      <c r="L145" s="1"/>
      <c r="M145" s="1"/>
      <c r="N145" s="1"/>
      <c r="O145" s="1"/>
      <c r="P145" s="1"/>
      <c r="Q145" s="1"/>
      <c r="R145" s="1"/>
      <c r="AI145" s="21"/>
      <c r="AJ145" s="21"/>
    </row>
    <row r="146" spans="3:36" s="20" customFormat="1" x14ac:dyDescent="0.2">
      <c r="C146" s="17" t="s">
        <v>624</v>
      </c>
      <c r="D146" s="2" t="s">
        <v>604</v>
      </c>
      <c r="E146" s="34">
        <v>1</v>
      </c>
      <c r="F146" s="75"/>
      <c r="G146" s="1">
        <v>208000</v>
      </c>
      <c r="H146" s="55">
        <v>43831</v>
      </c>
      <c r="I146" s="55">
        <v>45334</v>
      </c>
      <c r="J146" s="56">
        <f t="shared" si="18"/>
        <v>4.117808219178082</v>
      </c>
      <c r="K146" s="1"/>
      <c r="L146" s="1"/>
      <c r="M146" s="1"/>
      <c r="N146" s="1"/>
      <c r="O146" s="1"/>
      <c r="P146" s="1"/>
      <c r="Q146" s="1"/>
      <c r="R146" s="1"/>
      <c r="AI146" s="21"/>
      <c r="AJ146" s="21"/>
    </row>
    <row r="147" spans="3:36" s="20" customFormat="1" x14ac:dyDescent="0.2">
      <c r="C147" s="17" t="s">
        <v>625</v>
      </c>
      <c r="D147" s="2" t="s">
        <v>604</v>
      </c>
      <c r="E147" s="34">
        <v>1</v>
      </c>
      <c r="F147" s="75"/>
      <c r="G147" s="1">
        <v>208000</v>
      </c>
      <c r="H147" s="55">
        <v>43831</v>
      </c>
      <c r="I147" s="55">
        <v>45334</v>
      </c>
      <c r="J147" s="56">
        <f t="shared" si="18"/>
        <v>4.117808219178082</v>
      </c>
      <c r="K147" s="1"/>
      <c r="L147" s="1"/>
      <c r="M147" s="1"/>
      <c r="N147" s="1"/>
      <c r="O147" s="1"/>
      <c r="P147" s="1"/>
      <c r="Q147" s="1"/>
      <c r="R147" s="1"/>
      <c r="AI147" s="21"/>
      <c r="AJ147" s="21"/>
    </row>
    <row r="148" spans="3:36" s="20" customFormat="1" x14ac:dyDescent="0.2">
      <c r="C148" s="17" t="s">
        <v>626</v>
      </c>
      <c r="D148" s="2" t="s">
        <v>604</v>
      </c>
      <c r="E148" s="34">
        <v>1</v>
      </c>
      <c r="F148" s="75"/>
      <c r="G148" s="1">
        <v>208000</v>
      </c>
      <c r="H148" s="55">
        <v>43831</v>
      </c>
      <c r="I148" s="55">
        <v>45334</v>
      </c>
      <c r="J148" s="56">
        <f t="shared" si="18"/>
        <v>4.117808219178082</v>
      </c>
      <c r="K148" s="1"/>
      <c r="L148" s="1"/>
      <c r="M148" s="1"/>
      <c r="N148" s="1"/>
      <c r="O148" s="1"/>
      <c r="P148" s="1"/>
      <c r="Q148" s="1"/>
      <c r="R148" s="1"/>
      <c r="AI148" s="21"/>
      <c r="AJ148" s="21"/>
    </row>
    <row r="149" spans="3:36" s="20" customFormat="1" x14ac:dyDescent="0.2">
      <c r="C149" s="17" t="s">
        <v>639</v>
      </c>
      <c r="D149" s="2" t="s">
        <v>604</v>
      </c>
      <c r="E149" s="34">
        <v>1</v>
      </c>
      <c r="F149" s="75"/>
      <c r="G149" s="1">
        <v>211000</v>
      </c>
      <c r="H149" s="55">
        <v>43831</v>
      </c>
      <c r="I149" s="55">
        <v>45334</v>
      </c>
      <c r="J149" s="56">
        <f t="shared" si="18"/>
        <v>4.117808219178082</v>
      </c>
      <c r="K149" s="1"/>
      <c r="L149" s="1"/>
      <c r="M149" s="1"/>
      <c r="N149" s="1"/>
      <c r="O149" s="1"/>
      <c r="P149" s="1"/>
      <c r="Q149" s="1"/>
      <c r="R149" s="1"/>
      <c r="AI149" s="21"/>
      <c r="AJ149" s="21"/>
    </row>
    <row r="150" spans="3:36" s="20" customFormat="1" x14ac:dyDescent="0.2">
      <c r="C150" s="17" t="s">
        <v>643</v>
      </c>
      <c r="D150" s="2" t="s">
        <v>604</v>
      </c>
      <c r="E150" s="34">
        <v>1</v>
      </c>
      <c r="F150" s="75"/>
      <c r="G150" s="1">
        <v>210000</v>
      </c>
      <c r="H150" s="55">
        <v>43831</v>
      </c>
      <c r="I150" s="55">
        <v>45334</v>
      </c>
      <c r="J150" s="56">
        <f t="shared" si="18"/>
        <v>4.117808219178082</v>
      </c>
      <c r="K150" s="1"/>
      <c r="L150" s="1"/>
      <c r="M150" s="1"/>
      <c r="N150" s="1"/>
      <c r="O150" s="1"/>
      <c r="P150" s="1"/>
      <c r="Q150" s="1"/>
      <c r="R150" s="1"/>
      <c r="AI150" s="21"/>
      <c r="AJ150" s="21"/>
    </row>
    <row r="151" spans="3:36" s="20" customFormat="1" x14ac:dyDescent="0.2">
      <c r="C151" s="17" t="s">
        <v>644</v>
      </c>
      <c r="D151" s="2" t="s">
        <v>604</v>
      </c>
      <c r="E151" s="34">
        <v>1</v>
      </c>
      <c r="F151" s="75"/>
      <c r="G151" s="1">
        <v>210000</v>
      </c>
      <c r="H151" s="55">
        <v>43831</v>
      </c>
      <c r="I151" s="55">
        <v>45334</v>
      </c>
      <c r="J151" s="56">
        <f t="shared" si="18"/>
        <v>4.117808219178082</v>
      </c>
      <c r="K151" s="1"/>
      <c r="L151" s="1"/>
      <c r="M151" s="1"/>
      <c r="N151" s="1"/>
      <c r="O151" s="1"/>
      <c r="P151" s="1"/>
      <c r="Q151" s="1"/>
      <c r="R151" s="1"/>
      <c r="AI151" s="21"/>
      <c r="AJ151" s="21"/>
    </row>
    <row r="152" spans="3:36" s="20" customFormat="1" x14ac:dyDescent="0.2">
      <c r="C152" s="17" t="s">
        <v>616</v>
      </c>
      <c r="D152" s="2" t="s">
        <v>604</v>
      </c>
      <c r="E152" s="34">
        <v>1</v>
      </c>
      <c r="F152" s="75"/>
      <c r="G152" s="1">
        <v>208000</v>
      </c>
      <c r="H152" s="55">
        <v>43466</v>
      </c>
      <c r="I152" s="55">
        <v>45334</v>
      </c>
      <c r="J152" s="56">
        <f t="shared" si="18"/>
        <v>5.117808219178082</v>
      </c>
      <c r="K152" s="1"/>
      <c r="L152" s="1"/>
      <c r="M152" s="1"/>
      <c r="N152" s="1"/>
      <c r="O152" s="1"/>
      <c r="P152" s="1"/>
      <c r="Q152" s="1"/>
      <c r="R152" s="1"/>
      <c r="AI152" s="21"/>
      <c r="AJ152" s="21"/>
    </row>
    <row r="153" spans="3:36" s="20" customFormat="1" x14ac:dyDescent="0.2">
      <c r="C153" s="17" t="s">
        <v>619</v>
      </c>
      <c r="D153" s="2" t="s">
        <v>604</v>
      </c>
      <c r="E153" s="34">
        <v>1</v>
      </c>
      <c r="F153" s="75"/>
      <c r="G153" s="1">
        <v>208000</v>
      </c>
      <c r="H153" s="55">
        <v>43466</v>
      </c>
      <c r="I153" s="55">
        <v>45334</v>
      </c>
      <c r="J153" s="56">
        <f t="shared" si="18"/>
        <v>5.117808219178082</v>
      </c>
      <c r="K153" s="1"/>
      <c r="L153" s="1"/>
      <c r="M153" s="1"/>
      <c r="N153" s="1"/>
      <c r="O153" s="1"/>
      <c r="P153" s="1"/>
      <c r="Q153" s="1"/>
      <c r="R153" s="1"/>
      <c r="AI153" s="21"/>
      <c r="AJ153" s="21"/>
    </row>
    <row r="154" spans="3:36" s="20" customFormat="1" x14ac:dyDescent="0.2">
      <c r="C154" s="17" t="s">
        <v>620</v>
      </c>
      <c r="D154" s="2" t="s">
        <v>604</v>
      </c>
      <c r="E154" s="34">
        <v>1</v>
      </c>
      <c r="F154" s="75"/>
      <c r="G154" s="1">
        <v>208000</v>
      </c>
      <c r="H154" s="55">
        <v>43466</v>
      </c>
      <c r="I154" s="55">
        <v>45334</v>
      </c>
      <c r="J154" s="56">
        <f t="shared" si="18"/>
        <v>5.117808219178082</v>
      </c>
      <c r="K154" s="1"/>
      <c r="L154" s="1"/>
      <c r="M154" s="1"/>
      <c r="N154" s="1"/>
      <c r="O154" s="1"/>
      <c r="P154" s="1"/>
      <c r="Q154" s="1"/>
      <c r="R154" s="1"/>
      <c r="AI154" s="21"/>
      <c r="AJ154" s="21"/>
    </row>
    <row r="155" spans="3:36" s="20" customFormat="1" x14ac:dyDescent="0.2">
      <c r="C155" s="17" t="s">
        <v>621</v>
      </c>
      <c r="D155" s="17" t="s">
        <v>604</v>
      </c>
      <c r="E155" s="34">
        <v>1</v>
      </c>
      <c r="F155" s="75"/>
      <c r="G155" s="1">
        <v>208000</v>
      </c>
      <c r="H155" s="55">
        <v>43466</v>
      </c>
      <c r="I155" s="55">
        <v>45334</v>
      </c>
      <c r="J155" s="56">
        <f t="shared" si="18"/>
        <v>5.117808219178082</v>
      </c>
      <c r="K155" s="1"/>
      <c r="L155" s="1"/>
      <c r="M155" s="1"/>
      <c r="N155" s="1"/>
      <c r="O155" s="1"/>
      <c r="P155" s="1"/>
      <c r="Q155" s="1"/>
      <c r="R155" s="1"/>
      <c r="AI155" s="21"/>
      <c r="AJ155" s="21"/>
    </row>
    <row r="156" spans="3:36" s="20" customFormat="1" x14ac:dyDescent="0.2">
      <c r="C156" s="17" t="s">
        <v>609</v>
      </c>
      <c r="D156" s="17" t="s">
        <v>604</v>
      </c>
      <c r="E156" s="34">
        <v>1</v>
      </c>
      <c r="F156" s="75"/>
      <c r="G156" s="1">
        <v>180478</v>
      </c>
      <c r="H156" s="55">
        <v>43101</v>
      </c>
      <c r="I156" s="55">
        <v>45334</v>
      </c>
      <c r="J156" s="56">
        <f t="shared" si="18"/>
        <v>6.117808219178082</v>
      </c>
      <c r="K156" s="1"/>
      <c r="L156" s="1"/>
      <c r="M156" s="1"/>
      <c r="N156" s="1"/>
      <c r="O156" s="1"/>
      <c r="P156" s="1"/>
      <c r="Q156" s="1"/>
      <c r="R156" s="1"/>
      <c r="AI156" s="21"/>
      <c r="AJ156" s="21"/>
    </row>
    <row r="157" spans="3:36" s="20" customFormat="1" x14ac:dyDescent="0.2">
      <c r="C157" s="17" t="s">
        <v>615</v>
      </c>
      <c r="D157" s="17" t="s">
        <v>604</v>
      </c>
      <c r="E157" s="34">
        <v>1</v>
      </c>
      <c r="F157" s="75"/>
      <c r="G157" s="1">
        <v>180521</v>
      </c>
      <c r="H157" s="55">
        <v>43101</v>
      </c>
      <c r="I157" s="55">
        <v>45334</v>
      </c>
      <c r="J157" s="56">
        <f t="shared" si="18"/>
        <v>6.117808219178082</v>
      </c>
      <c r="K157" s="1"/>
      <c r="L157" s="1"/>
      <c r="M157" s="1"/>
      <c r="N157" s="1"/>
      <c r="O157" s="1"/>
      <c r="P157" s="1"/>
      <c r="Q157" s="1"/>
      <c r="R157" s="1"/>
      <c r="AI157" s="21"/>
      <c r="AJ157" s="21"/>
    </row>
    <row r="158" spans="3:36" s="20" customFormat="1" x14ac:dyDescent="0.2">
      <c r="C158" s="17" t="s">
        <v>617</v>
      </c>
      <c r="D158" s="17" t="s">
        <v>604</v>
      </c>
      <c r="E158" s="34">
        <v>1</v>
      </c>
      <c r="F158" s="75"/>
      <c r="G158" s="1">
        <v>180487</v>
      </c>
      <c r="H158" s="55">
        <v>43101</v>
      </c>
      <c r="I158" s="55">
        <v>45334</v>
      </c>
      <c r="J158" s="56">
        <f t="shared" si="18"/>
        <v>6.117808219178082</v>
      </c>
      <c r="K158" s="1"/>
      <c r="L158" s="1"/>
      <c r="M158" s="1"/>
      <c r="N158" s="1"/>
      <c r="O158" s="1"/>
      <c r="P158" s="1"/>
      <c r="Q158" s="1"/>
      <c r="R158" s="1"/>
      <c r="AI158" s="21"/>
      <c r="AJ158" s="21"/>
    </row>
    <row r="159" spans="3:36" s="20" customFormat="1" x14ac:dyDescent="0.2">
      <c r="C159" s="17" t="s">
        <v>623</v>
      </c>
      <c r="D159" s="17" t="s">
        <v>604</v>
      </c>
      <c r="E159" s="34">
        <v>1</v>
      </c>
      <c r="F159" s="75"/>
      <c r="G159" s="1">
        <v>180499</v>
      </c>
      <c r="H159" s="55">
        <v>43101</v>
      </c>
      <c r="I159" s="55">
        <v>45334</v>
      </c>
      <c r="J159" s="56">
        <f t="shared" si="18"/>
        <v>6.117808219178082</v>
      </c>
      <c r="K159" s="1"/>
      <c r="L159" s="1"/>
      <c r="M159" s="1"/>
      <c r="N159" s="1"/>
      <c r="O159" s="1"/>
      <c r="P159" s="1"/>
      <c r="Q159" s="1"/>
      <c r="R159" s="1"/>
      <c r="AI159" s="21"/>
      <c r="AJ159" s="21"/>
    </row>
    <row r="160" spans="3:36" s="20" customFormat="1" x14ac:dyDescent="0.2">
      <c r="C160" s="17" t="s">
        <v>632</v>
      </c>
      <c r="D160" s="17" t="s">
        <v>604</v>
      </c>
      <c r="E160" s="34">
        <v>1</v>
      </c>
      <c r="F160" s="75"/>
      <c r="G160" s="1">
        <v>180511</v>
      </c>
      <c r="H160" s="55">
        <v>43101</v>
      </c>
      <c r="I160" s="55">
        <v>45334</v>
      </c>
      <c r="J160" s="56">
        <f t="shared" si="18"/>
        <v>6.117808219178082</v>
      </c>
      <c r="K160" s="1"/>
      <c r="L160" s="1"/>
      <c r="M160" s="1"/>
      <c r="N160" s="1"/>
      <c r="O160" s="1"/>
      <c r="P160" s="1"/>
      <c r="Q160" s="1"/>
      <c r="R160" s="1"/>
      <c r="AI160" s="21"/>
      <c r="AJ160" s="21"/>
    </row>
    <row r="161" spans="3:36" s="20" customFormat="1" x14ac:dyDescent="0.2">
      <c r="C161" s="17" t="s">
        <v>641</v>
      </c>
      <c r="D161" s="17" t="s">
        <v>604</v>
      </c>
      <c r="E161" s="34">
        <v>1</v>
      </c>
      <c r="F161" s="75"/>
      <c r="G161" s="1">
        <v>181044</v>
      </c>
      <c r="H161" s="55">
        <v>42736</v>
      </c>
      <c r="I161" s="55">
        <v>45334</v>
      </c>
      <c r="J161" s="56">
        <f t="shared" si="18"/>
        <v>7.117808219178082</v>
      </c>
      <c r="K161" s="1"/>
      <c r="L161" s="1"/>
      <c r="M161" s="1"/>
      <c r="N161" s="1"/>
      <c r="O161" s="1"/>
      <c r="P161" s="1"/>
      <c r="Q161" s="1"/>
      <c r="R161" s="1"/>
      <c r="AI161" s="21"/>
      <c r="AJ161" s="21"/>
    </row>
    <row r="162" spans="3:36" s="20" customFormat="1" x14ac:dyDescent="0.2">
      <c r="C162" s="17" t="s">
        <v>646</v>
      </c>
      <c r="D162" s="17" t="s">
        <v>604</v>
      </c>
      <c r="E162" s="34">
        <v>1</v>
      </c>
      <c r="F162" s="75"/>
      <c r="G162" s="1">
        <v>181046</v>
      </c>
      <c r="H162" s="55">
        <v>42736</v>
      </c>
      <c r="I162" s="55">
        <v>45334</v>
      </c>
      <c r="J162" s="56">
        <f t="shared" si="18"/>
        <v>7.117808219178082</v>
      </c>
      <c r="K162" s="1"/>
      <c r="L162" s="1"/>
      <c r="M162" s="1"/>
      <c r="N162" s="1"/>
      <c r="O162" s="1"/>
      <c r="P162" s="1"/>
      <c r="Q162" s="1"/>
      <c r="R162" s="1"/>
      <c r="AI162" s="21"/>
      <c r="AJ162" s="21"/>
    </row>
    <row r="163" spans="3:36" s="20" customFormat="1" x14ac:dyDescent="0.2">
      <c r="C163" s="17" t="s">
        <v>638</v>
      </c>
      <c r="D163" s="17" t="s">
        <v>604</v>
      </c>
      <c r="E163" s="34">
        <v>1</v>
      </c>
      <c r="F163" s="75"/>
      <c r="G163" s="1">
        <v>180504</v>
      </c>
      <c r="H163" s="55">
        <v>42736</v>
      </c>
      <c r="I163" s="55">
        <v>45334</v>
      </c>
      <c r="J163" s="56">
        <f t="shared" si="18"/>
        <v>7.117808219178082</v>
      </c>
      <c r="K163" s="1"/>
      <c r="L163" s="1"/>
      <c r="M163" s="1"/>
      <c r="N163" s="1"/>
      <c r="O163" s="1"/>
      <c r="P163" s="1"/>
      <c r="Q163" s="1"/>
      <c r="R163" s="1"/>
      <c r="AI163" s="21"/>
      <c r="AJ163" s="21"/>
    </row>
    <row r="164" spans="3:36" s="20" customFormat="1" x14ac:dyDescent="0.2">
      <c r="C164" s="17" t="s">
        <v>648</v>
      </c>
      <c r="D164" s="17" t="s">
        <v>604</v>
      </c>
      <c r="E164" s="34">
        <v>1</v>
      </c>
      <c r="F164" s="75"/>
      <c r="G164" s="1">
        <v>208000</v>
      </c>
      <c r="H164" s="55">
        <v>42736</v>
      </c>
      <c r="I164" s="55">
        <v>45334</v>
      </c>
      <c r="J164" s="56">
        <f t="shared" si="18"/>
        <v>7.117808219178082</v>
      </c>
      <c r="K164" s="1"/>
      <c r="L164" s="1"/>
      <c r="M164" s="1"/>
      <c r="N164" s="1"/>
      <c r="O164" s="1"/>
      <c r="P164" s="1"/>
      <c r="Q164" s="1"/>
      <c r="R164" s="1"/>
      <c r="AI164" s="21"/>
      <c r="AJ164" s="21"/>
    </row>
    <row r="165" spans="3:36" s="20" customFormat="1" x14ac:dyDescent="0.2">
      <c r="C165" s="17" t="s">
        <v>611</v>
      </c>
      <c r="D165" s="17" t="s">
        <v>604</v>
      </c>
      <c r="E165" s="34">
        <v>1</v>
      </c>
      <c r="F165" s="75"/>
      <c r="G165" s="1">
        <v>180355</v>
      </c>
      <c r="H165" s="55">
        <v>42370</v>
      </c>
      <c r="I165" s="55">
        <v>45334</v>
      </c>
      <c r="J165" s="56">
        <f t="shared" si="18"/>
        <v>8.1205479452054803</v>
      </c>
      <c r="K165" s="1"/>
      <c r="L165" s="1"/>
      <c r="M165" s="1"/>
      <c r="N165" s="1"/>
      <c r="O165" s="1"/>
      <c r="P165" s="1"/>
      <c r="Q165" s="1"/>
      <c r="R165" s="1"/>
      <c r="AI165" s="21"/>
      <c r="AJ165" s="21"/>
    </row>
    <row r="166" spans="3:36" s="20" customFormat="1" x14ac:dyDescent="0.2">
      <c r="C166" s="17" t="s">
        <v>614</v>
      </c>
      <c r="D166" s="17" t="s">
        <v>604</v>
      </c>
      <c r="E166" s="34">
        <v>1</v>
      </c>
      <c r="F166" s="75"/>
      <c r="G166" s="1">
        <v>180209</v>
      </c>
      <c r="H166" s="55">
        <v>42370</v>
      </c>
      <c r="I166" s="55">
        <v>45334</v>
      </c>
      <c r="J166" s="56">
        <f t="shared" si="18"/>
        <v>8.1205479452054803</v>
      </c>
      <c r="K166" s="1"/>
      <c r="L166" s="1"/>
      <c r="M166" s="1"/>
      <c r="N166" s="1"/>
      <c r="O166" s="1"/>
      <c r="P166" s="1"/>
      <c r="Q166" s="1"/>
      <c r="R166" s="1"/>
      <c r="AI166" s="21"/>
      <c r="AJ166" s="21"/>
    </row>
    <row r="167" spans="3:36" s="20" customFormat="1" x14ac:dyDescent="0.2">
      <c r="C167" s="17" t="s">
        <v>628</v>
      </c>
      <c r="D167" s="17" t="s">
        <v>604</v>
      </c>
      <c r="E167" s="34">
        <v>1</v>
      </c>
      <c r="F167" s="75"/>
      <c r="G167" s="1">
        <v>182610</v>
      </c>
      <c r="H167" s="55">
        <v>42370</v>
      </c>
      <c r="I167" s="55">
        <v>45334</v>
      </c>
      <c r="J167" s="56">
        <f t="shared" si="18"/>
        <v>8.1205479452054803</v>
      </c>
      <c r="K167" s="1"/>
      <c r="L167" s="1"/>
      <c r="M167" s="1"/>
      <c r="N167" s="1"/>
      <c r="O167" s="1"/>
      <c r="P167" s="1"/>
      <c r="Q167" s="1"/>
      <c r="R167" s="1"/>
      <c r="AI167" s="21"/>
      <c r="AJ167" s="21"/>
    </row>
    <row r="168" spans="3:36" s="20" customFormat="1" x14ac:dyDescent="0.2">
      <c r="C168" s="17" t="s">
        <v>642</v>
      </c>
      <c r="D168" s="17" t="s">
        <v>604</v>
      </c>
      <c r="E168" s="34">
        <v>1</v>
      </c>
      <c r="F168" s="75"/>
      <c r="G168" s="1">
        <v>211112</v>
      </c>
      <c r="H168" s="55">
        <v>42370</v>
      </c>
      <c r="I168" s="55">
        <v>45334</v>
      </c>
      <c r="J168" s="56">
        <f t="shared" si="18"/>
        <v>8.1205479452054803</v>
      </c>
      <c r="K168" s="1"/>
      <c r="L168" s="1"/>
      <c r="M168" s="1"/>
      <c r="N168" s="1"/>
      <c r="O168" s="1"/>
      <c r="P168" s="1"/>
      <c r="Q168" s="1"/>
      <c r="R168" s="1"/>
      <c r="AI168" s="21"/>
      <c r="AJ168" s="21"/>
    </row>
    <row r="169" spans="3:36" s="20" customFormat="1" x14ac:dyDescent="0.2">
      <c r="C169" s="17" t="s">
        <v>647</v>
      </c>
      <c r="D169" s="1" t="s">
        <v>604</v>
      </c>
      <c r="E169" s="34">
        <v>1</v>
      </c>
      <c r="F169" s="75"/>
      <c r="G169" s="1">
        <v>211112</v>
      </c>
      <c r="H169" s="55">
        <v>42370</v>
      </c>
      <c r="I169" s="55">
        <v>45334</v>
      </c>
      <c r="J169" s="56">
        <f t="shared" si="18"/>
        <v>8.1205479452054803</v>
      </c>
      <c r="K169" s="1"/>
      <c r="L169" s="1"/>
      <c r="M169" s="1"/>
      <c r="N169" s="1"/>
      <c r="O169" s="1"/>
      <c r="P169" s="1"/>
      <c r="Q169" s="1"/>
      <c r="R169" s="1"/>
      <c r="AI169" s="21"/>
      <c r="AJ169" s="21"/>
    </row>
    <row r="170" spans="3:36" s="20" customFormat="1" x14ac:dyDescent="0.2">
      <c r="C170" s="17" t="s">
        <v>612</v>
      </c>
      <c r="D170" s="1" t="s">
        <v>604</v>
      </c>
      <c r="E170" s="34">
        <v>1</v>
      </c>
      <c r="F170" s="75"/>
      <c r="G170" s="1">
        <v>180491</v>
      </c>
      <c r="H170" s="55">
        <v>42370</v>
      </c>
      <c r="I170" s="55">
        <v>45334</v>
      </c>
      <c r="J170" s="56">
        <f t="shared" si="18"/>
        <v>8.1205479452054803</v>
      </c>
      <c r="K170" s="1"/>
      <c r="L170" s="1"/>
      <c r="M170" s="1"/>
      <c r="N170" s="1"/>
      <c r="O170" s="1"/>
      <c r="P170" s="1"/>
      <c r="Q170" s="1"/>
      <c r="R170" s="1"/>
      <c r="AI170" s="21"/>
      <c r="AJ170" s="21"/>
    </row>
    <row r="171" spans="3:36" s="20" customFormat="1" x14ac:dyDescent="0.2">
      <c r="C171" s="17" t="s">
        <v>636</v>
      </c>
      <c r="D171" s="1" t="s">
        <v>604</v>
      </c>
      <c r="E171" s="34">
        <v>1</v>
      </c>
      <c r="F171" s="75"/>
      <c r="G171" s="1">
        <v>180491</v>
      </c>
      <c r="H171" s="55">
        <v>42370</v>
      </c>
      <c r="I171" s="55">
        <v>45334</v>
      </c>
      <c r="J171" s="56">
        <f t="shared" si="18"/>
        <v>8.1205479452054803</v>
      </c>
      <c r="K171" s="1"/>
      <c r="L171" s="1"/>
      <c r="M171" s="1"/>
      <c r="N171" s="1"/>
      <c r="O171" s="1"/>
      <c r="P171" s="1"/>
      <c r="Q171" s="1"/>
      <c r="R171" s="1"/>
      <c r="AI171" s="21"/>
      <c r="AJ171" s="21"/>
    </row>
    <row r="172" spans="3:36" s="20" customFormat="1" x14ac:dyDescent="0.2">
      <c r="C172" s="17" t="s">
        <v>610</v>
      </c>
      <c r="D172" s="1" t="s">
        <v>604</v>
      </c>
      <c r="E172" s="34">
        <v>0</v>
      </c>
      <c r="F172" s="75"/>
      <c r="G172" s="1">
        <v>182472</v>
      </c>
      <c r="H172" s="55">
        <v>42005</v>
      </c>
      <c r="I172" s="55">
        <v>45334</v>
      </c>
      <c r="J172" s="56">
        <f t="shared" si="18"/>
        <v>9.1205479452054803</v>
      </c>
      <c r="K172" s="1"/>
      <c r="L172" s="1"/>
      <c r="M172" s="1"/>
      <c r="N172" s="1"/>
      <c r="O172" s="1"/>
      <c r="P172" s="1"/>
      <c r="Q172" s="1"/>
      <c r="R172" s="1"/>
      <c r="AI172" s="21"/>
      <c r="AJ172" s="21"/>
    </row>
    <row r="173" spans="3:36" s="20" customFormat="1" x14ac:dyDescent="0.2">
      <c r="C173" s="17" t="s">
        <v>627</v>
      </c>
      <c r="D173" s="1" t="s">
        <v>604</v>
      </c>
      <c r="E173" s="34">
        <v>0</v>
      </c>
      <c r="F173" s="75"/>
      <c r="G173" s="1">
        <v>182481</v>
      </c>
      <c r="H173" s="55">
        <v>42005</v>
      </c>
      <c r="I173" s="55">
        <v>45334</v>
      </c>
      <c r="J173" s="56">
        <f t="shared" si="18"/>
        <v>9.1205479452054803</v>
      </c>
      <c r="K173" s="1"/>
      <c r="L173" s="1"/>
      <c r="M173" s="1"/>
      <c r="N173" s="1"/>
      <c r="O173" s="1"/>
      <c r="P173" s="1"/>
      <c r="Q173" s="1"/>
      <c r="R173" s="1"/>
      <c r="AI173" s="21"/>
      <c r="AJ173" s="21"/>
    </row>
    <row r="174" spans="3:36" s="20" customFormat="1" x14ac:dyDescent="0.2">
      <c r="C174" s="17" t="s">
        <v>634</v>
      </c>
      <c r="D174" s="1" t="s">
        <v>604</v>
      </c>
      <c r="E174" s="34">
        <v>0</v>
      </c>
      <c r="F174" s="75"/>
      <c r="G174" s="1">
        <v>182486</v>
      </c>
      <c r="H174" s="55">
        <v>42005</v>
      </c>
      <c r="I174" s="55">
        <v>45334</v>
      </c>
      <c r="J174" s="56">
        <f t="shared" si="18"/>
        <v>9.1205479452054803</v>
      </c>
      <c r="K174" s="1"/>
      <c r="L174" s="1"/>
      <c r="M174" s="1"/>
      <c r="N174" s="1"/>
      <c r="O174" s="1"/>
      <c r="P174" s="1"/>
      <c r="Q174" s="1"/>
      <c r="R174" s="1"/>
      <c r="AI174" s="21"/>
      <c r="AJ174" s="21"/>
    </row>
    <row r="175" spans="3:36" x14ac:dyDescent="0.2">
      <c r="C175" s="17" t="s">
        <v>652</v>
      </c>
      <c r="D175" s="20" t="s">
        <v>604</v>
      </c>
      <c r="E175" s="34">
        <v>0</v>
      </c>
      <c r="F175" s="75"/>
      <c r="G175" s="20">
        <v>181062</v>
      </c>
      <c r="H175" s="55">
        <v>42005</v>
      </c>
      <c r="I175" s="55">
        <v>45334</v>
      </c>
      <c r="J175" s="56">
        <f t="shared" si="18"/>
        <v>9.1205479452054803</v>
      </c>
    </row>
    <row r="176" spans="3:36" x14ac:dyDescent="0.2">
      <c r="C176" s="17" t="s">
        <v>659</v>
      </c>
      <c r="D176" s="20" t="s">
        <v>604</v>
      </c>
      <c r="E176" s="34">
        <v>0</v>
      </c>
      <c r="F176" s="75"/>
      <c r="G176" s="20">
        <v>181010</v>
      </c>
      <c r="H176" s="55">
        <v>42005</v>
      </c>
      <c r="I176" s="55">
        <v>45334</v>
      </c>
      <c r="J176" s="56">
        <f t="shared" si="18"/>
        <v>9.1205479452054803</v>
      </c>
    </row>
    <row r="177" spans="3:10" x14ac:dyDescent="0.2">
      <c r="C177" s="17" t="s">
        <v>660</v>
      </c>
      <c r="D177" s="20" t="s">
        <v>604</v>
      </c>
      <c r="E177" s="34">
        <v>0</v>
      </c>
      <c r="F177" s="75"/>
      <c r="G177" s="20">
        <v>181062</v>
      </c>
      <c r="H177" s="55">
        <v>42005</v>
      </c>
      <c r="I177" s="55">
        <v>45334</v>
      </c>
      <c r="J177" s="56">
        <f t="shared" si="18"/>
        <v>9.1205479452054803</v>
      </c>
    </row>
    <row r="178" spans="3:10" x14ac:dyDescent="0.2">
      <c r="C178" s="17" t="s">
        <v>662</v>
      </c>
      <c r="D178" s="20" t="s">
        <v>604</v>
      </c>
      <c r="E178" s="34">
        <v>0</v>
      </c>
      <c r="F178" s="75"/>
      <c r="G178" s="20">
        <v>181055</v>
      </c>
      <c r="H178" s="55">
        <v>42005</v>
      </c>
      <c r="I178" s="55">
        <v>45334</v>
      </c>
      <c r="J178" s="56">
        <f t="shared" si="18"/>
        <v>9.1205479452054803</v>
      </c>
    </row>
    <row r="179" spans="3:10" x14ac:dyDescent="0.2">
      <c r="C179" s="17" t="s">
        <v>606</v>
      </c>
      <c r="D179" s="20" t="s">
        <v>604</v>
      </c>
      <c r="E179" s="34">
        <v>0</v>
      </c>
      <c r="F179" s="75"/>
      <c r="G179" s="20">
        <v>180119</v>
      </c>
      <c r="H179" s="55">
        <v>42005</v>
      </c>
      <c r="I179" s="55">
        <v>45334</v>
      </c>
      <c r="J179" s="56">
        <f t="shared" si="18"/>
        <v>9.1205479452054803</v>
      </c>
    </row>
    <row r="180" spans="3:10" x14ac:dyDescent="0.2">
      <c r="C180" s="17" t="s">
        <v>653</v>
      </c>
      <c r="D180" s="20" t="s">
        <v>604</v>
      </c>
      <c r="E180" s="34">
        <v>0</v>
      </c>
      <c r="F180" s="75"/>
      <c r="G180" s="20">
        <v>180958</v>
      </c>
      <c r="H180" s="55">
        <v>41640</v>
      </c>
      <c r="I180" s="55">
        <v>45334</v>
      </c>
      <c r="J180" s="56">
        <f t="shared" si="18"/>
        <v>10.12054794520548</v>
      </c>
    </row>
    <row r="181" spans="3:10" x14ac:dyDescent="0.2">
      <c r="C181" s="17" t="s">
        <v>654</v>
      </c>
      <c r="D181" s="20" t="s">
        <v>604</v>
      </c>
      <c r="E181" s="34">
        <v>0</v>
      </c>
      <c r="F181" s="75"/>
      <c r="G181" s="20">
        <v>181066</v>
      </c>
      <c r="H181" s="55">
        <v>41640</v>
      </c>
      <c r="I181" s="55">
        <v>45334</v>
      </c>
      <c r="J181" s="56">
        <f t="shared" si="18"/>
        <v>10.12054794520548</v>
      </c>
    </row>
    <row r="182" spans="3:10" x14ac:dyDescent="0.2">
      <c r="C182" s="17" t="s">
        <v>655</v>
      </c>
      <c r="D182" s="20" t="s">
        <v>604</v>
      </c>
      <c r="E182" s="34">
        <v>0</v>
      </c>
      <c r="F182" s="75"/>
      <c r="G182" s="20">
        <v>181020</v>
      </c>
      <c r="H182" s="55">
        <v>41640</v>
      </c>
      <c r="I182" s="55">
        <v>45334</v>
      </c>
      <c r="J182" s="56">
        <f t="shared" si="18"/>
        <v>10.12054794520548</v>
      </c>
    </row>
    <row r="183" spans="3:10" x14ac:dyDescent="0.2">
      <c r="C183" s="17" t="s">
        <v>656</v>
      </c>
      <c r="D183" s="20" t="s">
        <v>604</v>
      </c>
      <c r="E183" s="34">
        <v>0</v>
      </c>
      <c r="F183" s="75"/>
      <c r="G183" s="20">
        <v>181055</v>
      </c>
      <c r="H183" s="55">
        <v>41640</v>
      </c>
      <c r="I183" s="55">
        <v>45334</v>
      </c>
      <c r="J183" s="56">
        <f t="shared" si="18"/>
        <v>10.12054794520548</v>
      </c>
    </row>
    <row r="184" spans="3:10" x14ac:dyDescent="0.2">
      <c r="C184" s="17" t="s">
        <v>657</v>
      </c>
      <c r="D184" s="20" t="s">
        <v>604</v>
      </c>
      <c r="E184" s="34">
        <v>0</v>
      </c>
      <c r="F184" s="75"/>
      <c r="G184" s="20">
        <v>180960</v>
      </c>
      <c r="H184" s="55">
        <v>41640</v>
      </c>
      <c r="I184" s="55">
        <v>45334</v>
      </c>
      <c r="J184" s="56">
        <f t="shared" si="18"/>
        <v>10.12054794520548</v>
      </c>
    </row>
    <row r="185" spans="3:10" x14ac:dyDescent="0.2">
      <c r="C185" s="17" t="s">
        <v>658</v>
      </c>
      <c r="D185" s="20" t="s">
        <v>604</v>
      </c>
      <c r="E185" s="34">
        <v>0</v>
      </c>
      <c r="F185" s="75"/>
      <c r="G185" s="20">
        <v>181015</v>
      </c>
      <c r="H185" s="55">
        <v>41640</v>
      </c>
      <c r="I185" s="55">
        <v>45334</v>
      </c>
      <c r="J185" s="56">
        <f t="shared" si="18"/>
        <v>10.12054794520548</v>
      </c>
    </row>
    <row r="186" spans="3:10" x14ac:dyDescent="0.2">
      <c r="C186" s="17" t="s">
        <v>661</v>
      </c>
      <c r="D186" s="20" t="s">
        <v>604</v>
      </c>
      <c r="E186" s="34">
        <v>0</v>
      </c>
      <c r="F186" s="75"/>
      <c r="G186" s="20">
        <v>181062</v>
      </c>
      <c r="H186" s="55">
        <v>41640</v>
      </c>
      <c r="I186" s="55">
        <v>45334</v>
      </c>
      <c r="J186" s="56">
        <f t="shared" si="18"/>
        <v>10.12054794520548</v>
      </c>
    </row>
    <row r="187" spans="3:10" x14ac:dyDescent="0.2">
      <c r="C187" s="17" t="s">
        <v>663</v>
      </c>
      <c r="D187" s="20" t="s">
        <v>604</v>
      </c>
      <c r="E187" s="34">
        <v>0</v>
      </c>
      <c r="F187" s="75"/>
      <c r="G187" s="20">
        <v>181000</v>
      </c>
      <c r="H187" s="55">
        <v>41640</v>
      </c>
      <c r="I187" s="55">
        <v>45334</v>
      </c>
      <c r="J187" s="56">
        <f t="shared" si="18"/>
        <v>10.12054794520548</v>
      </c>
    </row>
    <row r="188" spans="3:10" x14ac:dyDescent="0.2">
      <c r="C188" s="17" t="s">
        <v>607</v>
      </c>
      <c r="D188" s="20" t="s">
        <v>604</v>
      </c>
      <c r="E188" s="34">
        <v>0</v>
      </c>
      <c r="F188" s="75"/>
      <c r="G188" s="20">
        <v>180119</v>
      </c>
      <c r="H188" s="55">
        <v>41640</v>
      </c>
      <c r="I188" s="55">
        <v>45334</v>
      </c>
      <c r="J188" s="56">
        <f t="shared" si="18"/>
        <v>10.12054794520548</v>
      </c>
    </row>
    <row r="189" spans="3:10" x14ac:dyDescent="0.2">
      <c r="C189" s="17" t="s">
        <v>631</v>
      </c>
      <c r="D189" s="20" t="s">
        <v>604</v>
      </c>
      <c r="E189" s="34">
        <v>0</v>
      </c>
      <c r="F189" s="75"/>
      <c r="G189" s="20">
        <v>181214</v>
      </c>
      <c r="H189" s="55">
        <v>41640</v>
      </c>
      <c r="I189" s="55">
        <v>45334</v>
      </c>
      <c r="J189" s="56">
        <f t="shared" si="18"/>
        <v>10.12054794520548</v>
      </c>
    </row>
    <row r="190" spans="3:10" x14ac:dyDescent="0.2">
      <c r="C190" s="17" t="s">
        <v>633</v>
      </c>
      <c r="D190" s="20" t="s">
        <v>604</v>
      </c>
      <c r="E190" s="34">
        <v>0</v>
      </c>
      <c r="F190" s="75"/>
      <c r="G190" s="20">
        <v>181214</v>
      </c>
      <c r="H190" s="55">
        <v>41640</v>
      </c>
      <c r="I190" s="55">
        <v>45334</v>
      </c>
      <c r="J190" s="56">
        <f t="shared" si="18"/>
        <v>10.12054794520548</v>
      </c>
    </row>
    <row r="191" spans="3:10" x14ac:dyDescent="0.2">
      <c r="C191" s="17" t="s">
        <v>651</v>
      </c>
      <c r="D191" s="20" t="s">
        <v>604</v>
      </c>
      <c r="E191" s="34">
        <v>0</v>
      </c>
      <c r="F191" s="75"/>
      <c r="G191" s="20">
        <v>179109</v>
      </c>
      <c r="H191" s="55">
        <v>41275</v>
      </c>
      <c r="I191" s="55">
        <v>45334</v>
      </c>
      <c r="J191" s="56">
        <f t="shared" si="18"/>
        <v>11.12054794520548</v>
      </c>
    </row>
    <row r="192" spans="3:10" x14ac:dyDescent="0.2">
      <c r="C192" s="17" t="s">
        <v>650</v>
      </c>
      <c r="D192" s="20" t="s">
        <v>604</v>
      </c>
      <c r="E192" s="34">
        <v>0</v>
      </c>
      <c r="F192" s="75"/>
      <c r="G192" s="20">
        <v>175861</v>
      </c>
      <c r="H192" s="55">
        <v>40544</v>
      </c>
      <c r="I192" s="55">
        <v>45334</v>
      </c>
      <c r="J192" s="56">
        <f t="shared" si="18"/>
        <v>13.123287671232877</v>
      </c>
    </row>
    <row r="193" spans="3:10" x14ac:dyDescent="0.2">
      <c r="C193" s="17" t="s">
        <v>630</v>
      </c>
      <c r="D193" s="20" t="s">
        <v>604</v>
      </c>
      <c r="E193" s="34">
        <v>0</v>
      </c>
      <c r="F193" s="75"/>
      <c r="G193" s="20">
        <v>206565</v>
      </c>
      <c r="H193" s="55">
        <v>40544</v>
      </c>
      <c r="I193" s="55">
        <v>45334</v>
      </c>
      <c r="J193" s="56">
        <f t="shared" si="18"/>
        <v>13.123287671232877</v>
      </c>
    </row>
    <row r="194" spans="3:10" x14ac:dyDescent="0.2">
      <c r="C194" s="17" t="s">
        <v>637</v>
      </c>
      <c r="D194" s="20" t="s">
        <v>604</v>
      </c>
      <c r="E194" s="34">
        <v>0</v>
      </c>
      <c r="F194" s="75"/>
      <c r="G194" s="20">
        <v>177979</v>
      </c>
      <c r="H194" s="55">
        <v>40544</v>
      </c>
      <c r="I194" s="55">
        <v>45334</v>
      </c>
      <c r="J194" s="56">
        <f t="shared" si="18"/>
        <v>13.123287671232877</v>
      </c>
    </row>
    <row r="195" spans="3:10" x14ac:dyDescent="0.2">
      <c r="C195" s="17" t="s">
        <v>613</v>
      </c>
      <c r="D195" s="20" t="s">
        <v>604</v>
      </c>
      <c r="E195" s="34">
        <v>0</v>
      </c>
      <c r="F195" s="75"/>
      <c r="G195" s="20">
        <v>175861</v>
      </c>
      <c r="H195" s="55">
        <v>40179</v>
      </c>
      <c r="I195" s="55">
        <v>45334</v>
      </c>
      <c r="J195" s="56">
        <f t="shared" si="18"/>
        <v>14.123287671232877</v>
      </c>
    </row>
    <row r="196" spans="3:10" x14ac:dyDescent="0.2">
      <c r="C196" s="17" t="s">
        <v>629</v>
      </c>
      <c r="D196" s="20" t="s">
        <v>604</v>
      </c>
      <c r="E196" s="34">
        <v>0</v>
      </c>
      <c r="F196" s="75"/>
      <c r="G196" s="20">
        <v>175837</v>
      </c>
      <c r="H196" s="55">
        <v>40179</v>
      </c>
      <c r="I196" s="55">
        <v>45334</v>
      </c>
      <c r="J196" s="56">
        <f t="shared" si="18"/>
        <v>14.123287671232877</v>
      </c>
    </row>
    <row r="197" spans="3:10" x14ac:dyDescent="0.2">
      <c r="C197" s="17" t="s">
        <v>649</v>
      </c>
      <c r="D197" s="20" t="s">
        <v>604</v>
      </c>
      <c r="E197" s="34">
        <v>0</v>
      </c>
      <c r="F197" s="75"/>
      <c r="G197" s="20">
        <v>175837</v>
      </c>
      <c r="H197" s="55">
        <v>40179</v>
      </c>
      <c r="I197" s="55">
        <v>45334</v>
      </c>
      <c r="J197" s="56">
        <f t="shared" si="18"/>
        <v>14.123287671232877</v>
      </c>
    </row>
    <row r="198" spans="3:10" x14ac:dyDescent="0.2">
      <c r="C198" s="17" t="s">
        <v>635</v>
      </c>
      <c r="D198" s="20" t="s">
        <v>604</v>
      </c>
      <c r="E198" s="34">
        <v>0</v>
      </c>
      <c r="F198" s="75"/>
      <c r="G198" s="20">
        <v>179788</v>
      </c>
      <c r="H198" s="55">
        <v>39814</v>
      </c>
      <c r="I198" s="55">
        <v>45334</v>
      </c>
      <c r="J198" s="56">
        <f t="shared" si="18"/>
        <v>15.123287671232877</v>
      </c>
    </row>
    <row r="199" spans="3:10" x14ac:dyDescent="0.2">
      <c r="C199" s="17" t="s">
        <v>603</v>
      </c>
      <c r="D199" s="20" t="s">
        <v>604</v>
      </c>
      <c r="E199" s="34">
        <v>0</v>
      </c>
      <c r="F199" s="75"/>
      <c r="G199" s="20">
        <v>169391</v>
      </c>
      <c r="H199" s="55">
        <v>39814</v>
      </c>
      <c r="I199" s="55">
        <v>45334</v>
      </c>
      <c r="J199" s="56">
        <f t="shared" si="18"/>
        <v>15.123287671232877</v>
      </c>
    </row>
    <row r="200" spans="3:10" x14ac:dyDescent="0.2">
      <c r="C200" s="17" t="s">
        <v>605</v>
      </c>
      <c r="D200" s="20" t="s">
        <v>604</v>
      </c>
      <c r="E200" s="34">
        <v>0</v>
      </c>
      <c r="F200" s="75"/>
      <c r="G200" s="20">
        <v>169173</v>
      </c>
      <c r="H200" s="55">
        <v>39814</v>
      </c>
      <c r="I200" s="55">
        <v>45334</v>
      </c>
      <c r="J200" s="56">
        <f t="shared" si="18"/>
        <v>15.123287671232877</v>
      </c>
    </row>
    <row r="201" spans="3:10" x14ac:dyDescent="0.2">
      <c r="C201" s="17" t="s">
        <v>671</v>
      </c>
      <c r="D201" s="20" t="s">
        <v>18</v>
      </c>
      <c r="E201" s="34">
        <v>1</v>
      </c>
      <c r="F201" s="75"/>
      <c r="G201" s="20">
        <v>85000</v>
      </c>
      <c r="H201" s="55">
        <v>45292</v>
      </c>
      <c r="I201" s="55">
        <v>45334</v>
      </c>
      <c r="J201" s="56">
        <f t="shared" si="18"/>
        <v>0.11506849315068493</v>
      </c>
    </row>
    <row r="202" spans="3:10" x14ac:dyDescent="0.2">
      <c r="C202" s="17" t="s">
        <v>672</v>
      </c>
      <c r="D202" s="20" t="s">
        <v>18</v>
      </c>
      <c r="E202" s="34">
        <v>1</v>
      </c>
      <c r="F202" s="75"/>
      <c r="G202" s="20">
        <v>85000</v>
      </c>
      <c r="H202" s="55">
        <v>45292</v>
      </c>
      <c r="I202" s="55">
        <v>45334</v>
      </c>
      <c r="J202" s="56">
        <f t="shared" si="18"/>
        <v>0.11506849315068493</v>
      </c>
    </row>
    <row r="203" spans="3:10" x14ac:dyDescent="0.2">
      <c r="C203" s="17" t="s">
        <v>697</v>
      </c>
      <c r="D203" s="20" t="s">
        <v>18</v>
      </c>
      <c r="E203" s="34">
        <v>1</v>
      </c>
      <c r="F203" s="75"/>
      <c r="G203" s="20">
        <v>85000</v>
      </c>
      <c r="H203" s="55">
        <v>45292</v>
      </c>
      <c r="I203" s="55">
        <v>45334</v>
      </c>
      <c r="J203" s="56">
        <f t="shared" si="18"/>
        <v>0.11506849315068493</v>
      </c>
    </row>
    <row r="204" spans="3:10" x14ac:dyDescent="0.2">
      <c r="C204" s="17" t="s">
        <v>698</v>
      </c>
      <c r="D204" s="20" t="s">
        <v>18</v>
      </c>
      <c r="E204" s="34">
        <v>1</v>
      </c>
      <c r="F204" s="75"/>
      <c r="G204" s="20">
        <v>85000</v>
      </c>
      <c r="H204" s="55">
        <v>45292</v>
      </c>
      <c r="I204" s="55">
        <v>45334</v>
      </c>
      <c r="J204" s="56">
        <f t="shared" si="18"/>
        <v>0.11506849315068493</v>
      </c>
    </row>
    <row r="205" spans="3:10" x14ac:dyDescent="0.2">
      <c r="C205" s="17" t="s">
        <v>682</v>
      </c>
      <c r="D205" s="20" t="s">
        <v>18</v>
      </c>
      <c r="E205" s="34">
        <v>1</v>
      </c>
      <c r="F205" s="75"/>
      <c r="G205" s="20">
        <v>85000</v>
      </c>
      <c r="H205" s="55">
        <v>44927</v>
      </c>
      <c r="I205" s="55">
        <v>45334</v>
      </c>
      <c r="J205" s="56">
        <f t="shared" si="18"/>
        <v>1.1150684931506849</v>
      </c>
    </row>
    <row r="206" spans="3:10" x14ac:dyDescent="0.2">
      <c r="C206" s="17" t="s">
        <v>683</v>
      </c>
      <c r="D206" s="20" t="s">
        <v>18</v>
      </c>
      <c r="E206" s="34">
        <v>1</v>
      </c>
      <c r="F206" s="75"/>
      <c r="G206" s="20">
        <v>85000</v>
      </c>
      <c r="H206" s="55">
        <v>44927</v>
      </c>
      <c r="I206" s="55">
        <v>45334</v>
      </c>
      <c r="J206" s="56">
        <f t="shared" ref="J206:J235" si="19">+(I206-H206)/365</f>
        <v>1.1150684931506849</v>
      </c>
    </row>
    <row r="207" spans="3:10" x14ac:dyDescent="0.2">
      <c r="C207" s="17" t="s">
        <v>686</v>
      </c>
      <c r="D207" s="20" t="s">
        <v>18</v>
      </c>
      <c r="E207" s="34">
        <v>1</v>
      </c>
      <c r="F207" s="75"/>
      <c r="G207" s="20">
        <v>85000</v>
      </c>
      <c r="H207" s="55">
        <v>44927</v>
      </c>
      <c r="I207" s="55">
        <v>45334</v>
      </c>
      <c r="J207" s="56">
        <f t="shared" si="19"/>
        <v>1.1150684931506849</v>
      </c>
    </row>
    <row r="208" spans="3:10" x14ac:dyDescent="0.2">
      <c r="C208" s="17" t="s">
        <v>689</v>
      </c>
      <c r="D208" s="20" t="s">
        <v>18</v>
      </c>
      <c r="E208" s="34">
        <v>1</v>
      </c>
      <c r="F208" s="75"/>
      <c r="G208" s="20">
        <v>85000</v>
      </c>
      <c r="H208" s="55">
        <v>44927</v>
      </c>
      <c r="I208" s="55">
        <v>45334</v>
      </c>
      <c r="J208" s="56">
        <f t="shared" si="19"/>
        <v>1.1150684931506849</v>
      </c>
    </row>
    <row r="209" spans="3:10" x14ac:dyDescent="0.2">
      <c r="C209" s="17" t="s">
        <v>694</v>
      </c>
      <c r="D209" s="20" t="s">
        <v>18</v>
      </c>
      <c r="E209" s="34">
        <v>1</v>
      </c>
      <c r="F209" s="75"/>
      <c r="G209" s="20">
        <v>85000</v>
      </c>
      <c r="H209" s="55">
        <v>44927</v>
      </c>
      <c r="I209" s="55">
        <v>45334</v>
      </c>
      <c r="J209" s="56">
        <f t="shared" si="19"/>
        <v>1.1150684931506849</v>
      </c>
    </row>
    <row r="210" spans="3:10" x14ac:dyDescent="0.2">
      <c r="C210" s="17" t="s">
        <v>695</v>
      </c>
      <c r="D210" s="20" t="s">
        <v>18</v>
      </c>
      <c r="E210" s="34">
        <v>1</v>
      </c>
      <c r="F210" s="75"/>
      <c r="G210" s="20">
        <v>85000</v>
      </c>
      <c r="H210" s="55">
        <v>44927</v>
      </c>
      <c r="I210" s="55">
        <v>45334</v>
      </c>
      <c r="J210" s="56">
        <f t="shared" si="19"/>
        <v>1.1150684931506849</v>
      </c>
    </row>
    <row r="211" spans="3:10" x14ac:dyDescent="0.2">
      <c r="C211" s="17" t="s">
        <v>673</v>
      </c>
      <c r="D211" s="20" t="s">
        <v>18</v>
      </c>
      <c r="E211" s="34">
        <v>1</v>
      </c>
      <c r="F211" s="75"/>
      <c r="G211" s="20">
        <v>81600</v>
      </c>
      <c r="H211" s="55">
        <v>44197</v>
      </c>
      <c r="I211" s="55">
        <v>45334</v>
      </c>
      <c r="J211" s="56">
        <f t="shared" si="19"/>
        <v>3.1150684931506851</v>
      </c>
    </row>
    <row r="212" spans="3:10" x14ac:dyDescent="0.2">
      <c r="C212" s="17" t="s">
        <v>676</v>
      </c>
      <c r="D212" s="20" t="s">
        <v>18</v>
      </c>
      <c r="E212" s="34">
        <v>1</v>
      </c>
      <c r="F212" s="75"/>
      <c r="G212" s="20">
        <v>81500</v>
      </c>
      <c r="H212" s="55">
        <v>44197</v>
      </c>
      <c r="I212" s="55">
        <v>45334</v>
      </c>
      <c r="J212" s="56">
        <f t="shared" si="19"/>
        <v>3.1150684931506851</v>
      </c>
    </row>
    <row r="213" spans="3:10" x14ac:dyDescent="0.2">
      <c r="C213" s="17" t="s">
        <v>677</v>
      </c>
      <c r="D213" s="20" t="s">
        <v>18</v>
      </c>
      <c r="E213" s="34">
        <v>1</v>
      </c>
      <c r="F213" s="75"/>
      <c r="G213" s="20">
        <v>81100</v>
      </c>
      <c r="H213" s="55">
        <v>44197</v>
      </c>
      <c r="I213" s="55">
        <v>45334</v>
      </c>
      <c r="J213" s="56">
        <f t="shared" si="19"/>
        <v>3.1150684931506851</v>
      </c>
    </row>
    <row r="214" spans="3:10" x14ac:dyDescent="0.2">
      <c r="C214" s="17" t="s">
        <v>678</v>
      </c>
      <c r="D214" s="20" t="s">
        <v>18</v>
      </c>
      <c r="E214" s="34">
        <v>1</v>
      </c>
      <c r="F214" s="75"/>
      <c r="G214" s="20">
        <v>81200</v>
      </c>
      <c r="H214" s="55">
        <v>44197</v>
      </c>
      <c r="I214" s="55">
        <v>45334</v>
      </c>
      <c r="J214" s="56">
        <f t="shared" si="19"/>
        <v>3.1150684931506851</v>
      </c>
    </row>
    <row r="215" spans="3:10" x14ac:dyDescent="0.2">
      <c r="C215" s="17" t="s">
        <v>680</v>
      </c>
      <c r="D215" s="20" t="s">
        <v>18</v>
      </c>
      <c r="E215" s="34">
        <v>1</v>
      </c>
      <c r="F215" s="75"/>
      <c r="G215" s="20">
        <v>81600</v>
      </c>
      <c r="H215" s="55">
        <v>44197</v>
      </c>
      <c r="I215" s="55">
        <v>45334</v>
      </c>
      <c r="J215" s="56">
        <f t="shared" si="19"/>
        <v>3.1150684931506851</v>
      </c>
    </row>
    <row r="216" spans="3:10" x14ac:dyDescent="0.2">
      <c r="C216" s="17" t="s">
        <v>674</v>
      </c>
      <c r="D216" s="20" t="s">
        <v>18</v>
      </c>
      <c r="E216" s="34">
        <v>1</v>
      </c>
      <c r="F216" s="75"/>
      <c r="G216" s="20">
        <v>81200</v>
      </c>
      <c r="H216" s="55">
        <v>43831</v>
      </c>
      <c r="I216" s="55">
        <v>45334</v>
      </c>
      <c r="J216" s="56">
        <f t="shared" si="19"/>
        <v>4.117808219178082</v>
      </c>
    </row>
    <row r="217" spans="3:10" x14ac:dyDescent="0.2">
      <c r="C217" s="17" t="s">
        <v>675</v>
      </c>
      <c r="D217" s="20" t="s">
        <v>18</v>
      </c>
      <c r="E217" s="34">
        <v>1</v>
      </c>
      <c r="F217" s="75"/>
      <c r="G217" s="20">
        <v>81200</v>
      </c>
      <c r="H217" s="55">
        <v>43831</v>
      </c>
      <c r="I217" s="55">
        <v>45334</v>
      </c>
      <c r="J217" s="56">
        <f t="shared" si="19"/>
        <v>4.117808219178082</v>
      </c>
    </row>
    <row r="218" spans="3:10" x14ac:dyDescent="0.2">
      <c r="C218" s="17" t="s">
        <v>679</v>
      </c>
      <c r="D218" s="20" t="s">
        <v>18</v>
      </c>
      <c r="E218" s="34">
        <v>1</v>
      </c>
      <c r="F218" s="75"/>
      <c r="G218" s="20">
        <v>81100</v>
      </c>
      <c r="H218" s="55">
        <v>43831</v>
      </c>
      <c r="I218" s="55">
        <v>45334</v>
      </c>
      <c r="J218" s="56">
        <f t="shared" si="19"/>
        <v>4.117808219178082</v>
      </c>
    </row>
    <row r="219" spans="3:10" x14ac:dyDescent="0.2">
      <c r="C219" s="17" t="s">
        <v>664</v>
      </c>
      <c r="D219" s="20" t="s">
        <v>18</v>
      </c>
      <c r="E219" s="34">
        <v>1</v>
      </c>
      <c r="F219" s="75"/>
      <c r="G219" s="20">
        <v>74754</v>
      </c>
      <c r="H219" s="55">
        <v>42736</v>
      </c>
      <c r="I219" s="55">
        <v>45334</v>
      </c>
      <c r="J219" s="56">
        <f t="shared" si="19"/>
        <v>7.117808219178082</v>
      </c>
    </row>
    <row r="220" spans="3:10" x14ac:dyDescent="0.2">
      <c r="C220" s="17" t="s">
        <v>690</v>
      </c>
      <c r="D220" s="20" t="s">
        <v>18</v>
      </c>
      <c r="E220" s="34">
        <v>1</v>
      </c>
      <c r="F220" s="75"/>
      <c r="G220" s="20">
        <v>74231</v>
      </c>
      <c r="H220" s="55">
        <v>42736</v>
      </c>
      <c r="I220" s="55">
        <v>45334</v>
      </c>
      <c r="J220" s="56">
        <f t="shared" si="19"/>
        <v>7.117808219178082</v>
      </c>
    </row>
    <row r="221" spans="3:10" x14ac:dyDescent="0.2">
      <c r="C221" s="17" t="s">
        <v>688</v>
      </c>
      <c r="D221" s="20" t="s">
        <v>18</v>
      </c>
      <c r="E221" s="34">
        <v>0</v>
      </c>
      <c r="F221" s="75"/>
      <c r="G221" s="20">
        <v>84978</v>
      </c>
      <c r="H221" s="55">
        <v>42005</v>
      </c>
      <c r="I221" s="55">
        <v>45334</v>
      </c>
      <c r="J221" s="56">
        <f t="shared" si="19"/>
        <v>9.1205479452054803</v>
      </c>
    </row>
    <row r="222" spans="3:10" x14ac:dyDescent="0.2">
      <c r="C222" s="17" t="s">
        <v>693</v>
      </c>
      <c r="D222" s="20" t="s">
        <v>18</v>
      </c>
      <c r="E222" s="34">
        <v>0</v>
      </c>
      <c r="F222" s="75"/>
      <c r="G222" s="20">
        <v>74052</v>
      </c>
      <c r="H222" s="55">
        <v>41640</v>
      </c>
      <c r="I222" s="55">
        <v>45334</v>
      </c>
      <c r="J222" s="56">
        <f t="shared" si="19"/>
        <v>10.12054794520548</v>
      </c>
    </row>
    <row r="223" spans="3:10" x14ac:dyDescent="0.2">
      <c r="C223" s="17" t="s">
        <v>666</v>
      </c>
      <c r="D223" s="20" t="s">
        <v>18</v>
      </c>
      <c r="E223" s="34">
        <v>0</v>
      </c>
      <c r="F223" s="75"/>
      <c r="G223" s="20">
        <v>74850</v>
      </c>
      <c r="H223" s="55">
        <v>41275</v>
      </c>
      <c r="I223" s="55">
        <v>45334</v>
      </c>
      <c r="J223" s="56">
        <f t="shared" si="19"/>
        <v>11.12054794520548</v>
      </c>
    </row>
    <row r="224" spans="3:10" x14ac:dyDescent="0.2">
      <c r="C224" s="17" t="s">
        <v>669</v>
      </c>
      <c r="D224" s="20" t="s">
        <v>18</v>
      </c>
      <c r="E224" s="34">
        <v>0</v>
      </c>
      <c r="F224" s="75"/>
      <c r="G224" s="20">
        <v>84970</v>
      </c>
      <c r="H224" s="55">
        <v>41275</v>
      </c>
      <c r="I224" s="55">
        <v>45334</v>
      </c>
      <c r="J224" s="56">
        <f t="shared" si="19"/>
        <v>11.12054794520548</v>
      </c>
    </row>
    <row r="225" spans="3:10" x14ac:dyDescent="0.2">
      <c r="C225" s="17" t="s">
        <v>670</v>
      </c>
      <c r="D225" s="20" t="s">
        <v>18</v>
      </c>
      <c r="E225" s="34">
        <v>0</v>
      </c>
      <c r="F225" s="75"/>
      <c r="G225" s="20">
        <v>74062</v>
      </c>
      <c r="H225" s="55">
        <v>41275</v>
      </c>
      <c r="I225" s="55">
        <v>45334</v>
      </c>
      <c r="J225" s="56">
        <f t="shared" si="19"/>
        <v>11.12054794520548</v>
      </c>
    </row>
    <row r="226" spans="3:10" x14ac:dyDescent="0.2">
      <c r="C226" s="17" t="s">
        <v>691</v>
      </c>
      <c r="D226" s="20" t="s">
        <v>18</v>
      </c>
      <c r="E226" s="34">
        <v>0</v>
      </c>
      <c r="F226" s="75"/>
      <c r="G226" s="20">
        <v>74139</v>
      </c>
      <c r="H226" s="55">
        <v>41275</v>
      </c>
      <c r="I226" s="55">
        <v>45334</v>
      </c>
      <c r="J226" s="56">
        <f t="shared" si="19"/>
        <v>11.12054794520548</v>
      </c>
    </row>
    <row r="227" spans="3:10" x14ac:dyDescent="0.2">
      <c r="C227" s="17" t="s">
        <v>696</v>
      </c>
      <c r="D227" s="20" t="s">
        <v>18</v>
      </c>
      <c r="E227" s="34">
        <v>0</v>
      </c>
      <c r="F227" s="75"/>
      <c r="G227" s="20">
        <v>84943</v>
      </c>
      <c r="H227" s="55">
        <v>41275</v>
      </c>
      <c r="I227" s="55">
        <v>45334</v>
      </c>
      <c r="J227" s="56">
        <f t="shared" si="19"/>
        <v>11.12054794520548</v>
      </c>
    </row>
    <row r="228" spans="3:10" x14ac:dyDescent="0.2">
      <c r="C228" s="17" t="s">
        <v>667</v>
      </c>
      <c r="D228" s="20" t="s">
        <v>18</v>
      </c>
      <c r="E228" s="34">
        <v>0</v>
      </c>
      <c r="F228" s="75"/>
      <c r="G228" s="20">
        <v>74850</v>
      </c>
      <c r="H228" s="55">
        <v>40909</v>
      </c>
      <c r="I228" s="55">
        <v>45334</v>
      </c>
      <c r="J228" s="56">
        <f t="shared" si="19"/>
        <v>12.123287671232877</v>
      </c>
    </row>
    <row r="229" spans="3:10" x14ac:dyDescent="0.2">
      <c r="C229" s="17" t="s">
        <v>668</v>
      </c>
      <c r="D229" s="20" t="s">
        <v>18</v>
      </c>
      <c r="E229" s="34">
        <v>0</v>
      </c>
      <c r="F229" s="75"/>
      <c r="G229" s="20">
        <v>81487</v>
      </c>
      <c r="H229" s="55">
        <v>40909</v>
      </c>
      <c r="I229" s="55">
        <v>45334</v>
      </c>
      <c r="J229" s="56">
        <f t="shared" si="19"/>
        <v>12.123287671232877</v>
      </c>
    </row>
    <row r="230" spans="3:10" x14ac:dyDescent="0.2">
      <c r="C230" s="17" t="s">
        <v>681</v>
      </c>
      <c r="D230" s="20" t="s">
        <v>18</v>
      </c>
      <c r="E230" s="34">
        <v>0</v>
      </c>
      <c r="F230" s="75"/>
      <c r="G230" s="20">
        <v>81487</v>
      </c>
      <c r="H230" s="55">
        <v>40909</v>
      </c>
      <c r="I230" s="55">
        <v>45334</v>
      </c>
      <c r="J230" s="56">
        <f t="shared" si="19"/>
        <v>12.123287671232877</v>
      </c>
    </row>
    <row r="231" spans="3:10" x14ac:dyDescent="0.2">
      <c r="C231" s="17" t="s">
        <v>687</v>
      </c>
      <c r="D231" s="20" t="s">
        <v>18</v>
      </c>
      <c r="E231" s="34">
        <v>0</v>
      </c>
      <c r="F231" s="75"/>
      <c r="G231" s="20">
        <v>81533</v>
      </c>
      <c r="H231" s="55">
        <v>40909</v>
      </c>
      <c r="I231" s="55">
        <v>45334</v>
      </c>
      <c r="J231" s="56">
        <f t="shared" si="19"/>
        <v>12.123287671232877</v>
      </c>
    </row>
    <row r="232" spans="3:10" x14ac:dyDescent="0.2">
      <c r="C232" s="17" t="s">
        <v>692</v>
      </c>
      <c r="D232" s="20" t="s">
        <v>18</v>
      </c>
      <c r="E232" s="34">
        <v>0</v>
      </c>
      <c r="F232" s="75"/>
      <c r="G232" s="20">
        <v>81585</v>
      </c>
      <c r="H232" s="55">
        <v>40909</v>
      </c>
      <c r="I232" s="55">
        <v>45334</v>
      </c>
      <c r="J232" s="56">
        <f t="shared" si="19"/>
        <v>12.123287671232877</v>
      </c>
    </row>
    <row r="233" spans="3:10" x14ac:dyDescent="0.2">
      <c r="C233" s="17" t="s">
        <v>665</v>
      </c>
      <c r="D233" s="20" t="s">
        <v>18</v>
      </c>
      <c r="E233" s="34">
        <v>0</v>
      </c>
      <c r="F233" s="75"/>
      <c r="G233" s="20">
        <v>82188</v>
      </c>
      <c r="H233" s="55">
        <v>40544</v>
      </c>
      <c r="I233" s="55">
        <v>45334</v>
      </c>
      <c r="J233" s="56">
        <f t="shared" si="19"/>
        <v>13.123287671232877</v>
      </c>
    </row>
    <row r="234" spans="3:10" x14ac:dyDescent="0.2">
      <c r="C234" s="17" t="s">
        <v>684</v>
      </c>
      <c r="D234" s="20" t="s">
        <v>18</v>
      </c>
      <c r="E234" s="34">
        <v>0</v>
      </c>
      <c r="F234" s="75"/>
      <c r="G234" s="20">
        <v>81526</v>
      </c>
      <c r="H234" s="55">
        <v>40544</v>
      </c>
      <c r="I234" s="55">
        <v>45334</v>
      </c>
      <c r="J234" s="56">
        <f t="shared" si="19"/>
        <v>13.123287671232877</v>
      </c>
    </row>
    <row r="235" spans="3:10" x14ac:dyDescent="0.2">
      <c r="C235" s="17" t="s">
        <v>685</v>
      </c>
      <c r="D235" s="20" t="s">
        <v>18</v>
      </c>
      <c r="E235" s="34">
        <v>0</v>
      </c>
      <c r="F235" s="75"/>
      <c r="G235" s="20">
        <v>82188</v>
      </c>
      <c r="H235" s="55">
        <v>40544</v>
      </c>
      <c r="I235" s="55">
        <v>45334</v>
      </c>
      <c r="J235" s="56">
        <f t="shared" si="19"/>
        <v>13.123287671232877</v>
      </c>
    </row>
  </sheetData>
  <mergeCells count="5">
    <mergeCell ref="S3:W3"/>
    <mergeCell ref="C3:C4"/>
    <mergeCell ref="D3:H3"/>
    <mergeCell ref="I3:M3"/>
    <mergeCell ref="N3:R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Stocks Valuation</vt:lpstr>
      <vt:lpstr>FFA &amp; Spot Rates</vt:lpstr>
      <vt:lpstr>Vessel Valuations</vt:lpstr>
      <vt:lpstr>Premiums</vt:lpstr>
      <vt:lpstr>Hafnia</vt:lpstr>
      <vt:lpstr>International Seaways</vt:lpstr>
      <vt:lpstr>Okeanis</vt:lpstr>
      <vt:lpstr>D'Amico</vt:lpstr>
      <vt:lpstr>Eurody</vt:lpstr>
      <vt:lpstr>2020Bulkers</vt:lpstr>
      <vt:lpstr>Golden Ocean</vt:lpstr>
      <vt:lpstr>'FFA &amp; Spot Rates'!Print_Area</vt:lpstr>
      <vt:lpstr>'Stocks Valuation'!Print_Area</vt:lpstr>
      <vt:lpstr>'Vessel Valuations'!Print_Area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Marc Borrell</cp:lastModifiedBy>
  <dcterms:created xsi:type="dcterms:W3CDTF">2022-03-01T11:34:43Z</dcterms:created>
  <dcterms:modified xsi:type="dcterms:W3CDTF">2024-06-17T18:53:50Z</dcterms:modified>
</cp:coreProperties>
</file>