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yectos\Personal\Trader\Adriatic\"/>
    </mc:Choice>
  </mc:AlternateContent>
  <xr:revisionPtr revIDLastSave="0" documentId="13_ncr:1_{67871153-0599-48EA-91E3-A3768D2DA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" sheetId="2" r:id="rId1"/>
    <sheet name="Vares Base NAV" sheetId="1" r:id="rId2"/>
    <sheet name="Vares Ampliado NAV" sheetId="5" r:id="rId3"/>
    <sheet name="HQ NAV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" l="1"/>
  <c r="L20" i="2" s="1"/>
  <c r="L6" i="2"/>
  <c r="H20" i="2"/>
  <c r="H19" i="2"/>
  <c r="F13" i="2"/>
  <c r="H18" i="2"/>
  <c r="N84" i="5"/>
  <c r="O84" i="5"/>
  <c r="P84" i="5"/>
  <c r="Q84" i="5"/>
  <c r="R84" i="5"/>
  <c r="S84" i="5"/>
  <c r="T84" i="5"/>
  <c r="U84" i="5"/>
  <c r="N83" i="5"/>
  <c r="O83" i="5"/>
  <c r="P83" i="5"/>
  <c r="Q83" i="5"/>
  <c r="R83" i="5"/>
  <c r="S83" i="5"/>
  <c r="T83" i="5"/>
  <c r="U83" i="5"/>
  <c r="N82" i="5"/>
  <c r="O82" i="5"/>
  <c r="P82" i="5"/>
  <c r="Q82" i="5"/>
  <c r="R82" i="5"/>
  <c r="S82" i="5"/>
  <c r="T82" i="5"/>
  <c r="U82" i="5"/>
  <c r="N81" i="5"/>
  <c r="O81" i="5"/>
  <c r="P81" i="5"/>
  <c r="Q81" i="5"/>
  <c r="R81" i="5"/>
  <c r="S81" i="5"/>
  <c r="T81" i="5"/>
  <c r="U81" i="5"/>
  <c r="N80" i="5"/>
  <c r="O80" i="5"/>
  <c r="P80" i="5"/>
  <c r="Q80" i="5"/>
  <c r="R80" i="5"/>
  <c r="S80" i="5"/>
  <c r="T80" i="5"/>
  <c r="U80" i="5"/>
  <c r="N79" i="5"/>
  <c r="N78" i="5"/>
  <c r="O78" i="5" s="1"/>
  <c r="N77" i="5"/>
  <c r="O77" i="5"/>
  <c r="P77" i="5"/>
  <c r="Q77" i="5"/>
  <c r="R77" i="5"/>
  <c r="S77" i="5"/>
  <c r="T77" i="5"/>
  <c r="U77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C76" i="5"/>
  <c r="L74" i="5"/>
  <c r="M74" i="5"/>
  <c r="N74" i="5"/>
  <c r="O74" i="5"/>
  <c r="P74" i="5"/>
  <c r="Q74" i="5"/>
  <c r="R74" i="5"/>
  <c r="N73" i="5"/>
  <c r="O73" i="5"/>
  <c r="P73" i="5"/>
  <c r="Q73" i="5"/>
  <c r="R73" i="5"/>
  <c r="S73" i="5"/>
  <c r="T73" i="5"/>
  <c r="U73" i="5"/>
  <c r="N72" i="5"/>
  <c r="O72" i="5"/>
  <c r="P72" i="5"/>
  <c r="Q72" i="5"/>
  <c r="R72" i="5"/>
  <c r="S72" i="5"/>
  <c r="T72" i="5"/>
  <c r="U72" i="5"/>
  <c r="N71" i="5"/>
  <c r="O71" i="5"/>
  <c r="P71" i="5"/>
  <c r="Q71" i="5"/>
  <c r="R71" i="5"/>
  <c r="S71" i="5"/>
  <c r="T71" i="5"/>
  <c r="U71" i="5"/>
  <c r="N70" i="5"/>
  <c r="O70" i="5"/>
  <c r="P70" i="5"/>
  <c r="Q70" i="5"/>
  <c r="R70" i="5"/>
  <c r="S70" i="5"/>
  <c r="T70" i="5"/>
  <c r="U70" i="5"/>
  <c r="N69" i="5"/>
  <c r="O69" i="5"/>
  <c r="P69" i="5"/>
  <c r="Q69" i="5"/>
  <c r="R69" i="5"/>
  <c r="S69" i="5"/>
  <c r="T69" i="5"/>
  <c r="U69" i="5"/>
  <c r="N68" i="5"/>
  <c r="O68" i="5"/>
  <c r="P68" i="5"/>
  <c r="Q68" i="5"/>
  <c r="R68" i="5"/>
  <c r="S68" i="5"/>
  <c r="T68" i="5"/>
  <c r="U68" i="5"/>
  <c r="N65" i="5"/>
  <c r="O65" i="5"/>
  <c r="P65" i="5"/>
  <c r="Q65" i="5"/>
  <c r="R65" i="5"/>
  <c r="S65" i="5"/>
  <c r="T65" i="5"/>
  <c r="U65" i="5"/>
  <c r="N64" i="5"/>
  <c r="O64" i="5"/>
  <c r="P64" i="5"/>
  <c r="Q64" i="5"/>
  <c r="R64" i="5"/>
  <c r="S64" i="5"/>
  <c r="T64" i="5"/>
  <c r="U64" i="5"/>
  <c r="N63" i="5"/>
  <c r="O63" i="5"/>
  <c r="P63" i="5"/>
  <c r="Q63" i="5"/>
  <c r="R63" i="5"/>
  <c r="S63" i="5"/>
  <c r="T63" i="5"/>
  <c r="U63" i="5"/>
  <c r="N62" i="5"/>
  <c r="O62" i="5"/>
  <c r="P62" i="5"/>
  <c r="Q62" i="5"/>
  <c r="R62" i="5"/>
  <c r="S62" i="5"/>
  <c r="T62" i="5"/>
  <c r="U62" i="5"/>
  <c r="N61" i="5"/>
  <c r="O61" i="5"/>
  <c r="P61" i="5"/>
  <c r="Q61" i="5"/>
  <c r="R61" i="5"/>
  <c r="S61" i="5"/>
  <c r="T61" i="5"/>
  <c r="U61" i="5"/>
  <c r="N60" i="5"/>
  <c r="O60" i="5"/>
  <c r="P60" i="5"/>
  <c r="Q60" i="5"/>
  <c r="R60" i="5"/>
  <c r="S60" i="5"/>
  <c r="T60" i="5"/>
  <c r="U60" i="5"/>
  <c r="N59" i="5"/>
  <c r="O59" i="5"/>
  <c r="P59" i="5"/>
  <c r="Q59" i="5"/>
  <c r="R59" i="5"/>
  <c r="S59" i="5"/>
  <c r="T59" i="5"/>
  <c r="U59" i="5"/>
  <c r="N58" i="5"/>
  <c r="O58" i="5"/>
  <c r="P58" i="5"/>
  <c r="Q58" i="5"/>
  <c r="R58" i="5"/>
  <c r="S58" i="5"/>
  <c r="T58" i="5"/>
  <c r="U58" i="5"/>
  <c r="N57" i="5"/>
  <c r="O57" i="5"/>
  <c r="P57" i="5"/>
  <c r="Q57" i="5"/>
  <c r="R57" i="5"/>
  <c r="S57" i="5"/>
  <c r="T57" i="5"/>
  <c r="U57" i="5"/>
  <c r="N54" i="5"/>
  <c r="O54" i="5"/>
  <c r="P54" i="5"/>
  <c r="Q54" i="5"/>
  <c r="R54" i="5"/>
  <c r="S54" i="5"/>
  <c r="T54" i="5"/>
  <c r="U54" i="5"/>
  <c r="N53" i="5"/>
  <c r="O53" i="5"/>
  <c r="P53" i="5"/>
  <c r="Q53" i="5"/>
  <c r="R53" i="5"/>
  <c r="S53" i="5"/>
  <c r="T53" i="5"/>
  <c r="U53" i="5"/>
  <c r="N52" i="5"/>
  <c r="O52" i="5"/>
  <c r="P52" i="5"/>
  <c r="Q52" i="5"/>
  <c r="R52" i="5"/>
  <c r="S52" i="5"/>
  <c r="T52" i="5"/>
  <c r="U52" i="5"/>
  <c r="N51" i="5"/>
  <c r="O51" i="5"/>
  <c r="P51" i="5"/>
  <c r="Q51" i="5"/>
  <c r="R51" i="5"/>
  <c r="S51" i="5"/>
  <c r="T51" i="5"/>
  <c r="U51" i="5"/>
  <c r="N50" i="5"/>
  <c r="O50" i="5"/>
  <c r="P50" i="5"/>
  <c r="Q50" i="5"/>
  <c r="R50" i="5"/>
  <c r="S50" i="5"/>
  <c r="T50" i="5"/>
  <c r="U50" i="5"/>
  <c r="N49" i="5"/>
  <c r="O49" i="5"/>
  <c r="P49" i="5"/>
  <c r="Q49" i="5"/>
  <c r="R49" i="5"/>
  <c r="S49" i="5"/>
  <c r="T49" i="5"/>
  <c r="U49" i="5"/>
  <c r="N46" i="5"/>
  <c r="O46" i="5"/>
  <c r="P46" i="5"/>
  <c r="Q46" i="5"/>
  <c r="R46" i="5"/>
  <c r="S46" i="5"/>
  <c r="T46" i="5"/>
  <c r="U46" i="5"/>
  <c r="N43" i="5"/>
  <c r="O43" i="5"/>
  <c r="P43" i="5"/>
  <c r="Q43" i="5"/>
  <c r="R43" i="5"/>
  <c r="S43" i="5"/>
  <c r="T43" i="5"/>
  <c r="U43" i="5"/>
  <c r="N42" i="5"/>
  <c r="O42" i="5"/>
  <c r="P42" i="5"/>
  <c r="Q42" i="5"/>
  <c r="R42" i="5"/>
  <c r="S42" i="5"/>
  <c r="T42" i="5"/>
  <c r="U42" i="5"/>
  <c r="N40" i="5"/>
  <c r="O40" i="5"/>
  <c r="P40" i="5"/>
  <c r="Q40" i="5"/>
  <c r="R40" i="5"/>
  <c r="S40" i="5"/>
  <c r="T40" i="5"/>
  <c r="U40" i="5"/>
  <c r="N39" i="5"/>
  <c r="O39" i="5"/>
  <c r="P39" i="5"/>
  <c r="Q39" i="5"/>
  <c r="R39" i="5"/>
  <c r="S39" i="5"/>
  <c r="T39" i="5"/>
  <c r="U39" i="5"/>
  <c r="N38" i="5"/>
  <c r="O38" i="5"/>
  <c r="P38" i="5"/>
  <c r="Q38" i="5"/>
  <c r="R38" i="5"/>
  <c r="S38" i="5"/>
  <c r="T38" i="5"/>
  <c r="U38" i="5"/>
  <c r="N37" i="5"/>
  <c r="O37" i="5"/>
  <c r="P37" i="5"/>
  <c r="Q37" i="5"/>
  <c r="R37" i="5"/>
  <c r="S37" i="5"/>
  <c r="T37" i="5"/>
  <c r="U37" i="5"/>
  <c r="N36" i="5"/>
  <c r="O36" i="5"/>
  <c r="P36" i="5"/>
  <c r="Q36" i="5"/>
  <c r="R36" i="5"/>
  <c r="S36" i="5"/>
  <c r="T36" i="5"/>
  <c r="U36" i="5"/>
  <c r="N35" i="5"/>
  <c r="O35" i="5"/>
  <c r="P35" i="5"/>
  <c r="Q35" i="5"/>
  <c r="R35" i="5"/>
  <c r="S35" i="5"/>
  <c r="T35" i="5"/>
  <c r="U35" i="5"/>
  <c r="N32" i="5"/>
  <c r="O32" i="5"/>
  <c r="P32" i="5"/>
  <c r="Q32" i="5"/>
  <c r="R32" i="5"/>
  <c r="S32" i="5"/>
  <c r="T32" i="5"/>
  <c r="U32" i="5"/>
  <c r="N29" i="5"/>
  <c r="O29" i="5"/>
  <c r="P29" i="5"/>
  <c r="Q29" i="5"/>
  <c r="R29" i="5"/>
  <c r="S29" i="5"/>
  <c r="T29" i="5"/>
  <c r="U29" i="5"/>
  <c r="N28" i="5"/>
  <c r="O28" i="5"/>
  <c r="P28" i="5"/>
  <c r="Q28" i="5"/>
  <c r="R28" i="5"/>
  <c r="S28" i="5"/>
  <c r="T28" i="5"/>
  <c r="U28" i="5"/>
  <c r="N26" i="5"/>
  <c r="O26" i="5"/>
  <c r="P26" i="5"/>
  <c r="Q26" i="5"/>
  <c r="R26" i="5"/>
  <c r="S26" i="5"/>
  <c r="T26" i="5"/>
  <c r="U26" i="5"/>
  <c r="N25" i="5"/>
  <c r="O25" i="5"/>
  <c r="P25" i="5"/>
  <c r="Q25" i="5"/>
  <c r="R25" i="5"/>
  <c r="S25" i="5"/>
  <c r="T25" i="5"/>
  <c r="U25" i="5"/>
  <c r="N24" i="5"/>
  <c r="O24" i="5"/>
  <c r="P24" i="5"/>
  <c r="Q24" i="5"/>
  <c r="R24" i="5"/>
  <c r="S24" i="5"/>
  <c r="T24" i="5"/>
  <c r="U24" i="5"/>
  <c r="N23" i="5"/>
  <c r="O23" i="5"/>
  <c r="P23" i="5"/>
  <c r="Q23" i="5"/>
  <c r="R23" i="5"/>
  <c r="S23" i="5"/>
  <c r="T23" i="5"/>
  <c r="U23" i="5"/>
  <c r="N22" i="5"/>
  <c r="O22" i="5"/>
  <c r="P22" i="5"/>
  <c r="Q22" i="5"/>
  <c r="R22" i="5"/>
  <c r="S22" i="5"/>
  <c r="T22" i="5"/>
  <c r="U22" i="5"/>
  <c r="N21" i="5"/>
  <c r="O21" i="5"/>
  <c r="P21" i="5"/>
  <c r="Q21" i="5"/>
  <c r="R21" i="5"/>
  <c r="S21" i="5"/>
  <c r="T21" i="5"/>
  <c r="U21" i="5"/>
  <c r="N19" i="5"/>
  <c r="O19" i="5"/>
  <c r="P19" i="5"/>
  <c r="Q19" i="5"/>
  <c r="R19" i="5"/>
  <c r="S19" i="5"/>
  <c r="T19" i="5"/>
  <c r="U19" i="5"/>
  <c r="N18" i="5"/>
  <c r="O18" i="5"/>
  <c r="P18" i="5"/>
  <c r="Q18" i="5"/>
  <c r="R18" i="5"/>
  <c r="S18" i="5"/>
  <c r="T18" i="5"/>
  <c r="U18" i="5"/>
  <c r="N17" i="5"/>
  <c r="O17" i="5"/>
  <c r="P17" i="5"/>
  <c r="Q17" i="5"/>
  <c r="R17" i="5"/>
  <c r="S17" i="5"/>
  <c r="T17" i="5"/>
  <c r="U17" i="5"/>
  <c r="N16" i="5"/>
  <c r="O16" i="5"/>
  <c r="P16" i="5"/>
  <c r="Q16" i="5"/>
  <c r="R16" i="5"/>
  <c r="S16" i="5"/>
  <c r="T16" i="5"/>
  <c r="U16" i="5"/>
  <c r="N15" i="5"/>
  <c r="O15" i="5"/>
  <c r="P15" i="5"/>
  <c r="Q15" i="5"/>
  <c r="R15" i="5"/>
  <c r="S15" i="5"/>
  <c r="T15" i="5"/>
  <c r="U15" i="5"/>
  <c r="N14" i="5"/>
  <c r="O14" i="5"/>
  <c r="P14" i="5"/>
  <c r="Q14" i="5"/>
  <c r="R14" i="5"/>
  <c r="S14" i="5"/>
  <c r="T14" i="5"/>
  <c r="U14" i="5"/>
  <c r="N8" i="1"/>
  <c r="N9" i="1"/>
  <c r="N10" i="1"/>
  <c r="N11" i="1"/>
  <c r="N12" i="1"/>
  <c r="N7" i="1"/>
  <c r="F28" i="2"/>
  <c r="F27" i="2"/>
  <c r="F25" i="2"/>
  <c r="F26" i="2"/>
  <c r="N3" i="5"/>
  <c r="O3" i="5"/>
  <c r="P3" i="5"/>
  <c r="Q3" i="5"/>
  <c r="R3" i="5"/>
  <c r="S3" i="5"/>
  <c r="T3" i="5"/>
  <c r="U3" i="5"/>
  <c r="N5" i="5"/>
  <c r="O5" i="5" s="1"/>
  <c r="P5" i="5" s="1"/>
  <c r="Q5" i="5" s="1"/>
  <c r="R5" i="5" s="1"/>
  <c r="S5" i="5" s="1"/>
  <c r="T5" i="5" s="1"/>
  <c r="U5" i="5" s="1"/>
  <c r="C5" i="5"/>
  <c r="V4" i="5"/>
  <c r="C78" i="5"/>
  <c r="K74" i="5"/>
  <c r="J74" i="5"/>
  <c r="I74" i="5"/>
  <c r="H74" i="5"/>
  <c r="G74" i="5"/>
  <c r="F74" i="5"/>
  <c r="E74" i="5"/>
  <c r="D74" i="5"/>
  <c r="C74" i="5"/>
  <c r="I72" i="5"/>
  <c r="H72" i="5"/>
  <c r="M71" i="5"/>
  <c r="L71" i="5"/>
  <c r="K71" i="5"/>
  <c r="J71" i="5"/>
  <c r="I71" i="5"/>
  <c r="H71" i="5"/>
  <c r="G71" i="5"/>
  <c r="F71" i="5"/>
  <c r="E71" i="5"/>
  <c r="D71" i="5"/>
  <c r="C71" i="5"/>
  <c r="M70" i="5"/>
  <c r="L70" i="5"/>
  <c r="K70" i="5"/>
  <c r="J70" i="5"/>
  <c r="I70" i="5"/>
  <c r="H70" i="5"/>
  <c r="G70" i="5"/>
  <c r="F70" i="5"/>
  <c r="E70" i="5"/>
  <c r="D70" i="5"/>
  <c r="C70" i="5"/>
  <c r="M69" i="5"/>
  <c r="L69" i="5"/>
  <c r="K69" i="5"/>
  <c r="J69" i="5"/>
  <c r="I69" i="5"/>
  <c r="H69" i="5"/>
  <c r="G69" i="5"/>
  <c r="F69" i="5"/>
  <c r="E69" i="5"/>
  <c r="D69" i="5"/>
  <c r="C69" i="5"/>
  <c r="M64" i="5"/>
  <c r="L64" i="5"/>
  <c r="K64" i="5"/>
  <c r="J64" i="5"/>
  <c r="I64" i="5"/>
  <c r="H64" i="5"/>
  <c r="G64" i="5"/>
  <c r="F64" i="5"/>
  <c r="E64" i="5"/>
  <c r="D64" i="5"/>
  <c r="C64" i="5"/>
  <c r="M39" i="5"/>
  <c r="M53" i="5" s="1"/>
  <c r="L39" i="5"/>
  <c r="L53" i="5" s="1"/>
  <c r="K39" i="5"/>
  <c r="K53" i="5" s="1"/>
  <c r="E39" i="5"/>
  <c r="E53" i="5" s="1"/>
  <c r="D39" i="5"/>
  <c r="D53" i="5" s="1"/>
  <c r="C39" i="5"/>
  <c r="L37" i="5"/>
  <c r="L51" i="5" s="1"/>
  <c r="L59" i="5" s="1"/>
  <c r="E37" i="5"/>
  <c r="E51" i="5" s="1"/>
  <c r="E59" i="5" s="1"/>
  <c r="D35" i="5"/>
  <c r="D49" i="5" s="1"/>
  <c r="C35" i="5"/>
  <c r="C49" i="5" s="1"/>
  <c r="H32" i="5"/>
  <c r="H46" i="5" s="1"/>
  <c r="C32" i="5"/>
  <c r="C46" i="5" s="1"/>
  <c r="I28" i="5"/>
  <c r="I42" i="5" s="1"/>
  <c r="H28" i="5"/>
  <c r="H42" i="5" s="1"/>
  <c r="G28" i="5"/>
  <c r="G42" i="5" s="1"/>
  <c r="C28" i="5"/>
  <c r="C42" i="5" s="1"/>
  <c r="J26" i="5"/>
  <c r="J40" i="5" s="1"/>
  <c r="J54" i="5" s="1"/>
  <c r="J62" i="5" s="1"/>
  <c r="E26" i="5"/>
  <c r="E40" i="5" s="1"/>
  <c r="E54" i="5" s="1"/>
  <c r="E62" i="5" s="1"/>
  <c r="C26" i="5"/>
  <c r="C40" i="5" s="1"/>
  <c r="B26" i="5"/>
  <c r="M26" i="5" s="1"/>
  <c r="M40" i="5" s="1"/>
  <c r="M54" i="5" s="1"/>
  <c r="M62" i="5" s="1"/>
  <c r="M25" i="5"/>
  <c r="L25" i="5"/>
  <c r="K25" i="5"/>
  <c r="J25" i="5"/>
  <c r="J39" i="5" s="1"/>
  <c r="J53" i="5" s="1"/>
  <c r="I25" i="5"/>
  <c r="I39" i="5" s="1"/>
  <c r="I53" i="5" s="1"/>
  <c r="H25" i="5"/>
  <c r="H39" i="5" s="1"/>
  <c r="H53" i="5" s="1"/>
  <c r="G25" i="5"/>
  <c r="G39" i="5" s="1"/>
  <c r="G53" i="5" s="1"/>
  <c r="F25" i="5"/>
  <c r="F39" i="5" s="1"/>
  <c r="F53" i="5" s="1"/>
  <c r="E25" i="5"/>
  <c r="D25" i="5"/>
  <c r="C25" i="5"/>
  <c r="L24" i="5"/>
  <c r="L38" i="5" s="1"/>
  <c r="L52" i="5" s="1"/>
  <c r="L60" i="5" s="1"/>
  <c r="K24" i="5"/>
  <c r="K38" i="5" s="1"/>
  <c r="K52" i="5" s="1"/>
  <c r="K60" i="5" s="1"/>
  <c r="J24" i="5"/>
  <c r="J38" i="5" s="1"/>
  <c r="J52" i="5" s="1"/>
  <c r="J60" i="5" s="1"/>
  <c r="I24" i="5"/>
  <c r="I38" i="5" s="1"/>
  <c r="I52" i="5" s="1"/>
  <c r="I60" i="5" s="1"/>
  <c r="D24" i="5"/>
  <c r="D38" i="5" s="1"/>
  <c r="D52" i="5" s="1"/>
  <c r="D60" i="5" s="1"/>
  <c r="B24" i="5"/>
  <c r="M23" i="5"/>
  <c r="M37" i="5" s="1"/>
  <c r="M51" i="5" s="1"/>
  <c r="M59" i="5" s="1"/>
  <c r="I23" i="5"/>
  <c r="I37" i="5" s="1"/>
  <c r="I51" i="5" s="1"/>
  <c r="I59" i="5" s="1"/>
  <c r="H23" i="5"/>
  <c r="H37" i="5" s="1"/>
  <c r="H51" i="5" s="1"/>
  <c r="H59" i="5" s="1"/>
  <c r="G23" i="5"/>
  <c r="G37" i="5" s="1"/>
  <c r="G51" i="5" s="1"/>
  <c r="G59" i="5" s="1"/>
  <c r="F23" i="5"/>
  <c r="F37" i="5" s="1"/>
  <c r="F51" i="5" s="1"/>
  <c r="F59" i="5" s="1"/>
  <c r="E23" i="5"/>
  <c r="B23" i="5"/>
  <c r="L23" i="5" s="1"/>
  <c r="J22" i="5"/>
  <c r="I22" i="5"/>
  <c r="I36" i="5" s="1"/>
  <c r="I50" i="5" s="1"/>
  <c r="C22" i="5"/>
  <c r="C36" i="5" s="1"/>
  <c r="B22" i="5"/>
  <c r="L22" i="5" s="1"/>
  <c r="L36" i="5" s="1"/>
  <c r="L50" i="5" s="1"/>
  <c r="M21" i="5"/>
  <c r="L21" i="5"/>
  <c r="K21" i="5"/>
  <c r="J21" i="5"/>
  <c r="I21" i="5"/>
  <c r="I35" i="5" s="1"/>
  <c r="I49" i="5" s="1"/>
  <c r="H21" i="5"/>
  <c r="H35" i="5" s="1"/>
  <c r="H49" i="5" s="1"/>
  <c r="G21" i="5"/>
  <c r="G35" i="5" s="1"/>
  <c r="G49" i="5" s="1"/>
  <c r="F21" i="5"/>
  <c r="F35" i="5" s="1"/>
  <c r="F49" i="5" s="1"/>
  <c r="E21" i="5"/>
  <c r="E35" i="5" s="1"/>
  <c r="E49" i="5" s="1"/>
  <c r="D21" i="5"/>
  <c r="C21" i="5"/>
  <c r="K19" i="5"/>
  <c r="J19" i="5"/>
  <c r="I19" i="5"/>
  <c r="H19" i="5"/>
  <c r="C19" i="5"/>
  <c r="B19" i="5"/>
  <c r="M18" i="5"/>
  <c r="M32" i="5" s="1"/>
  <c r="M46" i="5" s="1"/>
  <c r="L18" i="5"/>
  <c r="L32" i="5" s="1"/>
  <c r="L46" i="5" s="1"/>
  <c r="H18" i="5"/>
  <c r="G18" i="5"/>
  <c r="G32" i="5" s="1"/>
  <c r="G46" i="5" s="1"/>
  <c r="F18" i="5"/>
  <c r="F32" i="5" s="1"/>
  <c r="F46" i="5" s="1"/>
  <c r="E18" i="5"/>
  <c r="E32" i="5" s="1"/>
  <c r="E46" i="5" s="1"/>
  <c r="D18" i="5"/>
  <c r="D32" i="5" s="1"/>
  <c r="D46" i="5" s="1"/>
  <c r="C18" i="5"/>
  <c r="B18" i="5"/>
  <c r="K18" i="5" s="1"/>
  <c r="K32" i="5" s="1"/>
  <c r="K46" i="5" s="1"/>
  <c r="I17" i="5"/>
  <c r="C17" i="5"/>
  <c r="B17" i="5"/>
  <c r="K17" i="5" s="1"/>
  <c r="M16" i="5"/>
  <c r="L16" i="5"/>
  <c r="H16" i="5"/>
  <c r="G16" i="5"/>
  <c r="F16" i="5"/>
  <c r="E16" i="5"/>
  <c r="D16" i="5"/>
  <c r="B16" i="5"/>
  <c r="K16" i="5" s="1"/>
  <c r="C15" i="5"/>
  <c r="C29" i="5" s="1"/>
  <c r="B15" i="5"/>
  <c r="M14" i="5"/>
  <c r="L14" i="5"/>
  <c r="K14" i="5"/>
  <c r="J14" i="5"/>
  <c r="I14" i="5"/>
  <c r="H14" i="5"/>
  <c r="G14" i="5"/>
  <c r="F14" i="5"/>
  <c r="F28" i="5" s="1"/>
  <c r="F42" i="5" s="1"/>
  <c r="E14" i="5"/>
  <c r="E28" i="5" s="1"/>
  <c r="E42" i="5" s="1"/>
  <c r="D14" i="5"/>
  <c r="D28" i="5" s="1"/>
  <c r="D42" i="5" s="1"/>
  <c r="D57" i="5" s="1"/>
  <c r="C14" i="5"/>
  <c r="D5" i="5"/>
  <c r="E5" i="5" s="1"/>
  <c r="F5" i="5" s="1"/>
  <c r="G5" i="5" s="1"/>
  <c r="H5" i="5" s="1"/>
  <c r="I5" i="5" s="1"/>
  <c r="J5" i="5" s="1"/>
  <c r="K5" i="5" s="1"/>
  <c r="L5" i="5" s="1"/>
  <c r="M5" i="5" s="1"/>
  <c r="M3" i="5"/>
  <c r="M72" i="5" s="1"/>
  <c r="L3" i="5"/>
  <c r="L72" i="5" s="1"/>
  <c r="K3" i="5"/>
  <c r="J3" i="5"/>
  <c r="J68" i="5" s="1"/>
  <c r="I3" i="5"/>
  <c r="I68" i="5" s="1"/>
  <c r="H3" i="5"/>
  <c r="H68" i="5" s="1"/>
  <c r="H73" i="5" s="1"/>
  <c r="G3" i="5"/>
  <c r="G72" i="5" s="1"/>
  <c r="F3" i="5"/>
  <c r="E3" i="5"/>
  <c r="E72" i="5" s="1"/>
  <c r="D3" i="5"/>
  <c r="D72" i="5" s="1"/>
  <c r="C3" i="5"/>
  <c r="B46" i="2"/>
  <c r="B33" i="2"/>
  <c r="L21" i="2" l="1"/>
  <c r="P78" i="5"/>
  <c r="O79" i="5"/>
  <c r="H61" i="5"/>
  <c r="I57" i="5"/>
  <c r="I73" i="5"/>
  <c r="E57" i="5"/>
  <c r="D61" i="5"/>
  <c r="E61" i="5"/>
  <c r="H57" i="5"/>
  <c r="L61" i="5"/>
  <c r="C43" i="5"/>
  <c r="M61" i="5"/>
  <c r="G61" i="5"/>
  <c r="F72" i="5"/>
  <c r="F68" i="5"/>
  <c r="F73" i="5" s="1"/>
  <c r="F57" i="5"/>
  <c r="G15" i="5"/>
  <c r="G29" i="5" s="1"/>
  <c r="G43" i="5" s="1"/>
  <c r="F15" i="5"/>
  <c r="F29" i="5" s="1"/>
  <c r="F43" i="5" s="1"/>
  <c r="F58" i="5" s="1"/>
  <c r="D15" i="5"/>
  <c r="D29" i="5" s="1"/>
  <c r="D43" i="5" s="1"/>
  <c r="M15" i="5"/>
  <c r="M29" i="5" s="1"/>
  <c r="M43" i="5" s="1"/>
  <c r="E15" i="5"/>
  <c r="E29" i="5" s="1"/>
  <c r="E43" i="5" s="1"/>
  <c r="L15" i="5"/>
  <c r="L29" i="5" s="1"/>
  <c r="L43" i="5" s="1"/>
  <c r="L58" i="5" s="1"/>
  <c r="H17" i="5"/>
  <c r="D22" i="5"/>
  <c r="D36" i="5" s="1"/>
  <c r="D50" i="5" s="1"/>
  <c r="D26" i="5"/>
  <c r="D40" i="5" s="1"/>
  <c r="D54" i="5" s="1"/>
  <c r="D62" i="5" s="1"/>
  <c r="D68" i="5"/>
  <c r="D73" i="5" s="1"/>
  <c r="J17" i="5"/>
  <c r="C57" i="5"/>
  <c r="L68" i="5"/>
  <c r="L73" i="5" s="1"/>
  <c r="C53" i="5"/>
  <c r="E68" i="5"/>
  <c r="E73" i="5" s="1"/>
  <c r="I15" i="5"/>
  <c r="I29" i="5" s="1"/>
  <c r="I43" i="5" s="1"/>
  <c r="I58" i="5" s="1"/>
  <c r="K22" i="5"/>
  <c r="K36" i="5" s="1"/>
  <c r="K50" i="5" s="1"/>
  <c r="K26" i="5"/>
  <c r="K40" i="5" s="1"/>
  <c r="K54" i="5" s="1"/>
  <c r="K62" i="5" s="1"/>
  <c r="M68" i="5"/>
  <c r="M73" i="5" s="1"/>
  <c r="C54" i="5"/>
  <c r="J73" i="5"/>
  <c r="H24" i="5"/>
  <c r="H38" i="5" s="1"/>
  <c r="H52" i="5" s="1"/>
  <c r="H60" i="5" s="1"/>
  <c r="G24" i="5"/>
  <c r="G38" i="5" s="1"/>
  <c r="G52" i="5" s="1"/>
  <c r="G60" i="5" s="1"/>
  <c r="M24" i="5"/>
  <c r="M38" i="5" s="1"/>
  <c r="M52" i="5" s="1"/>
  <c r="M60" i="5" s="1"/>
  <c r="F24" i="5"/>
  <c r="F38" i="5" s="1"/>
  <c r="F52" i="5" s="1"/>
  <c r="F60" i="5" s="1"/>
  <c r="E24" i="5"/>
  <c r="E38" i="5" s="1"/>
  <c r="E52" i="5" s="1"/>
  <c r="E60" i="5" s="1"/>
  <c r="L26" i="5"/>
  <c r="L40" i="5" s="1"/>
  <c r="L54" i="5" s="1"/>
  <c r="L62" i="5" s="1"/>
  <c r="K61" i="5"/>
  <c r="C79" i="5"/>
  <c r="D78" i="5" s="1"/>
  <c r="C50" i="5"/>
  <c r="H15" i="5"/>
  <c r="H29" i="5" s="1"/>
  <c r="H43" i="5" s="1"/>
  <c r="J15" i="5"/>
  <c r="C68" i="5"/>
  <c r="C72" i="5"/>
  <c r="K68" i="5"/>
  <c r="K72" i="5"/>
  <c r="K15" i="5"/>
  <c r="K29" i="5" s="1"/>
  <c r="K43" i="5" s="1"/>
  <c r="G19" i="5"/>
  <c r="F19" i="5"/>
  <c r="L19" i="5"/>
  <c r="M19" i="5"/>
  <c r="E19" i="5"/>
  <c r="D19" i="5"/>
  <c r="C24" i="5"/>
  <c r="C38" i="5" s="1"/>
  <c r="G57" i="5"/>
  <c r="G17" i="5"/>
  <c r="F17" i="5"/>
  <c r="L17" i="5"/>
  <c r="D17" i="5"/>
  <c r="M17" i="5"/>
  <c r="E17" i="5"/>
  <c r="H22" i="5"/>
  <c r="H36" i="5" s="1"/>
  <c r="H50" i="5" s="1"/>
  <c r="G22" i="5"/>
  <c r="G36" i="5" s="1"/>
  <c r="G50" i="5" s="1"/>
  <c r="M22" i="5"/>
  <c r="M36" i="5" s="1"/>
  <c r="M50" i="5" s="1"/>
  <c r="F22" i="5"/>
  <c r="F36" i="5" s="1"/>
  <c r="F50" i="5" s="1"/>
  <c r="E22" i="5"/>
  <c r="E36" i="5" s="1"/>
  <c r="E50" i="5" s="1"/>
  <c r="F61" i="5"/>
  <c r="I26" i="5"/>
  <c r="I40" i="5" s="1"/>
  <c r="I54" i="5" s="1"/>
  <c r="I62" i="5" s="1"/>
  <c r="H26" i="5"/>
  <c r="H40" i="5" s="1"/>
  <c r="H54" i="5" s="1"/>
  <c r="H62" i="5" s="1"/>
  <c r="G26" i="5"/>
  <c r="G40" i="5" s="1"/>
  <c r="G54" i="5" s="1"/>
  <c r="G62" i="5" s="1"/>
  <c r="F26" i="5"/>
  <c r="F40" i="5" s="1"/>
  <c r="F54" i="5" s="1"/>
  <c r="F62" i="5" s="1"/>
  <c r="J72" i="5"/>
  <c r="G68" i="5"/>
  <c r="G73" i="5" s="1"/>
  <c r="I16" i="5"/>
  <c r="I18" i="5"/>
  <c r="I32" i="5" s="1"/>
  <c r="I46" i="5" s="1"/>
  <c r="I61" i="5" s="1"/>
  <c r="J23" i="5"/>
  <c r="J37" i="5" s="1"/>
  <c r="J51" i="5" s="1"/>
  <c r="J59" i="5" s="1"/>
  <c r="J16" i="5"/>
  <c r="J18" i="5"/>
  <c r="J32" i="5" s="1"/>
  <c r="J46" i="5" s="1"/>
  <c r="J61" i="5" s="1"/>
  <c r="C23" i="5"/>
  <c r="C37" i="5" s="1"/>
  <c r="K23" i="5"/>
  <c r="K37" i="5" s="1"/>
  <c r="K51" i="5" s="1"/>
  <c r="K59" i="5" s="1"/>
  <c r="C16" i="5"/>
  <c r="D23" i="5"/>
  <c r="D37" i="5" s="1"/>
  <c r="D51" i="5" s="1"/>
  <c r="D59" i="5" s="1"/>
  <c r="C4" i="4"/>
  <c r="B39" i="2"/>
  <c r="C5" i="4"/>
  <c r="N4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B30" i="2"/>
  <c r="B41" i="2" s="1"/>
  <c r="C2" i="4" s="1"/>
  <c r="K74" i="1"/>
  <c r="K76" i="1" s="1"/>
  <c r="D74" i="1"/>
  <c r="D76" i="1" s="1"/>
  <c r="E74" i="1"/>
  <c r="E76" i="1" s="1"/>
  <c r="F74" i="1"/>
  <c r="F76" i="1" s="1"/>
  <c r="G74" i="1"/>
  <c r="G76" i="1" s="1"/>
  <c r="H74" i="1"/>
  <c r="H76" i="1" s="1"/>
  <c r="I74" i="1"/>
  <c r="I76" i="1" s="1"/>
  <c r="J74" i="1"/>
  <c r="J76" i="1" s="1"/>
  <c r="C74" i="1"/>
  <c r="C76" i="1" s="1"/>
  <c r="L76" i="1"/>
  <c r="M76" i="1"/>
  <c r="P79" i="5" l="1"/>
  <c r="Q78" i="5" s="1"/>
  <c r="H58" i="5"/>
  <c r="D58" i="5"/>
  <c r="D63" i="5" s="1"/>
  <c r="D65" i="5" s="1"/>
  <c r="D77" i="5" s="1"/>
  <c r="K58" i="5"/>
  <c r="K73" i="5"/>
  <c r="I63" i="5"/>
  <c r="I65" i="5" s="1"/>
  <c r="I77" i="5" s="1"/>
  <c r="C51" i="5"/>
  <c r="G63" i="5"/>
  <c r="G65" i="5" s="1"/>
  <c r="G77" i="5" s="1"/>
  <c r="E58" i="5"/>
  <c r="H63" i="5"/>
  <c r="H65" i="5" s="1"/>
  <c r="H77" i="5" s="1"/>
  <c r="C62" i="5"/>
  <c r="C52" i="5"/>
  <c r="M58" i="5"/>
  <c r="D79" i="5"/>
  <c r="C58" i="5"/>
  <c r="C73" i="5"/>
  <c r="C61" i="5"/>
  <c r="G58" i="5"/>
  <c r="E63" i="5"/>
  <c r="E65" i="5" s="1"/>
  <c r="E77" i="5" s="1"/>
  <c r="F63" i="5"/>
  <c r="F65" i="5" s="1"/>
  <c r="F77" i="5" s="1"/>
  <c r="C6" i="4"/>
  <c r="H9" i="2" s="1"/>
  <c r="C78" i="1"/>
  <c r="Q79" i="5" l="1"/>
  <c r="R78" i="5" s="1"/>
  <c r="D80" i="5"/>
  <c r="D81" i="5" s="1"/>
  <c r="D82" i="5" s="1"/>
  <c r="D83" i="5" s="1"/>
  <c r="D84" i="5" s="1"/>
  <c r="E78" i="5"/>
  <c r="C60" i="5"/>
  <c r="C59" i="5"/>
  <c r="C63" i="5" s="1"/>
  <c r="C79" i="1"/>
  <c r="D78" i="1" s="1"/>
  <c r="R79" i="5" l="1"/>
  <c r="S78" i="5" s="1"/>
  <c r="C65" i="5"/>
  <c r="C77" i="5" s="1"/>
  <c r="C80" i="5" s="1"/>
  <c r="E79" i="5"/>
  <c r="E80" i="5" s="1"/>
  <c r="D79" i="1"/>
  <c r="E78" i="1" s="1"/>
  <c r="S79" i="5" l="1"/>
  <c r="T78" i="5" s="1"/>
  <c r="F78" i="5"/>
  <c r="F79" i="5" s="1"/>
  <c r="F80" i="5" s="1"/>
  <c r="C81" i="5"/>
  <c r="C82" i="5" s="1"/>
  <c r="C83" i="5" s="1"/>
  <c r="E81" i="5"/>
  <c r="E82" i="5" s="1"/>
  <c r="E83" i="5" s="1"/>
  <c r="E84" i="5" s="1"/>
  <c r="E79" i="1"/>
  <c r="F78" i="1" s="1"/>
  <c r="F79" i="1" s="1"/>
  <c r="G78" i="1" s="1"/>
  <c r="T79" i="5" l="1"/>
  <c r="U78" i="5" s="1"/>
  <c r="U79" i="5" s="1"/>
  <c r="C84" i="5"/>
  <c r="G78" i="5"/>
  <c r="F81" i="5"/>
  <c r="F82" i="5" s="1"/>
  <c r="F83" i="5" s="1"/>
  <c r="F84" i="5" s="1"/>
  <c r="G79" i="1"/>
  <c r="H78" i="1" s="1"/>
  <c r="G79" i="5" l="1"/>
  <c r="G80" i="5" s="1"/>
  <c r="H79" i="1"/>
  <c r="I78" i="1" s="1"/>
  <c r="I79" i="1" s="1"/>
  <c r="J78" i="1" s="1"/>
  <c r="J79" i="1" s="1"/>
  <c r="K78" i="1" s="1"/>
  <c r="K79" i="1" s="1"/>
  <c r="G81" i="5" l="1"/>
  <c r="G82" i="5" s="1"/>
  <c r="G83" i="5" s="1"/>
  <c r="H78" i="5"/>
  <c r="L78" i="1"/>
  <c r="L79" i="1"/>
  <c r="M78" i="1" s="1"/>
  <c r="M79" i="1" s="1"/>
  <c r="G84" i="5" l="1"/>
  <c r="H79" i="5"/>
  <c r="H80" i="5" s="1"/>
  <c r="D3" i="1"/>
  <c r="E3" i="1"/>
  <c r="F3" i="1"/>
  <c r="G3" i="1"/>
  <c r="H3" i="1"/>
  <c r="I3" i="1"/>
  <c r="J3" i="1"/>
  <c r="K3" i="1"/>
  <c r="L3" i="1"/>
  <c r="M3" i="1"/>
  <c r="C3" i="1"/>
  <c r="I78" i="5" l="1"/>
  <c r="H81" i="5"/>
  <c r="H82" i="5" s="1"/>
  <c r="H83" i="5" s="1"/>
  <c r="K68" i="1"/>
  <c r="K72" i="1"/>
  <c r="J68" i="1"/>
  <c r="J72" i="1"/>
  <c r="I68" i="1"/>
  <c r="I72" i="1"/>
  <c r="H68" i="1"/>
  <c r="H72" i="1"/>
  <c r="G68" i="1"/>
  <c r="G72" i="1"/>
  <c r="C68" i="1"/>
  <c r="C72" i="1"/>
  <c r="F68" i="1"/>
  <c r="F72" i="1"/>
  <c r="M68" i="1"/>
  <c r="M72" i="1"/>
  <c r="E68" i="1"/>
  <c r="E72" i="1"/>
  <c r="L68" i="1"/>
  <c r="L72" i="1"/>
  <c r="D68" i="1"/>
  <c r="D72" i="1"/>
  <c r="D64" i="1"/>
  <c r="E64" i="1"/>
  <c r="F64" i="1"/>
  <c r="G64" i="1"/>
  <c r="H64" i="1"/>
  <c r="I64" i="1"/>
  <c r="J64" i="1"/>
  <c r="K64" i="1"/>
  <c r="L64" i="1"/>
  <c r="M64" i="1"/>
  <c r="D71" i="1"/>
  <c r="E71" i="1"/>
  <c r="F71" i="1"/>
  <c r="G71" i="1"/>
  <c r="H71" i="1"/>
  <c r="I71" i="1"/>
  <c r="J71" i="1"/>
  <c r="K71" i="1"/>
  <c r="L71" i="1"/>
  <c r="M71" i="1"/>
  <c r="D70" i="1"/>
  <c r="E70" i="1"/>
  <c r="F70" i="1"/>
  <c r="G70" i="1"/>
  <c r="H70" i="1"/>
  <c r="I70" i="1"/>
  <c r="J70" i="1"/>
  <c r="K70" i="1"/>
  <c r="L70" i="1"/>
  <c r="M70" i="1"/>
  <c r="D69" i="1"/>
  <c r="E69" i="1"/>
  <c r="F69" i="1"/>
  <c r="G69" i="1"/>
  <c r="H69" i="1"/>
  <c r="I69" i="1"/>
  <c r="J69" i="1"/>
  <c r="K69" i="1"/>
  <c r="L69" i="1"/>
  <c r="M69" i="1"/>
  <c r="C69" i="1"/>
  <c r="C70" i="1"/>
  <c r="C71" i="1"/>
  <c r="C64" i="1"/>
  <c r="B18" i="1"/>
  <c r="F18" i="1" s="1"/>
  <c r="F32" i="1" s="1"/>
  <c r="F46" i="1" s="1"/>
  <c r="B19" i="1"/>
  <c r="I19" i="1" s="1"/>
  <c r="K14" i="1"/>
  <c r="K28" i="1" s="1"/>
  <c r="K42" i="1" s="1"/>
  <c r="B26" i="1"/>
  <c r="M26" i="1" s="1"/>
  <c r="M40" i="1" s="1"/>
  <c r="M54" i="1" s="1"/>
  <c r="M62" i="1" s="1"/>
  <c r="I25" i="1"/>
  <c r="I39" i="1" s="1"/>
  <c r="I53" i="1" s="1"/>
  <c r="B24" i="1"/>
  <c r="M24" i="1" s="1"/>
  <c r="M38" i="1" s="1"/>
  <c r="B23" i="1"/>
  <c r="I23" i="1" s="1"/>
  <c r="I37" i="1" s="1"/>
  <c r="B22" i="1"/>
  <c r="M22" i="1" s="1"/>
  <c r="M36" i="1" s="1"/>
  <c r="B17" i="1"/>
  <c r="I17" i="1" s="1"/>
  <c r="B16" i="1"/>
  <c r="G16" i="1" s="1"/>
  <c r="B15" i="1"/>
  <c r="I15" i="1" s="1"/>
  <c r="I29" i="1" s="1"/>
  <c r="I43" i="1" s="1"/>
  <c r="I21" i="1"/>
  <c r="I35" i="1" s="1"/>
  <c r="I49" i="1" s="1"/>
  <c r="H84" i="5" l="1"/>
  <c r="I79" i="5"/>
  <c r="I80" i="5" s="1"/>
  <c r="E73" i="1"/>
  <c r="G73" i="1"/>
  <c r="K73" i="1"/>
  <c r="M73" i="1"/>
  <c r="H73" i="1"/>
  <c r="I73" i="1"/>
  <c r="D73" i="1"/>
  <c r="F73" i="1"/>
  <c r="L73" i="1"/>
  <c r="C73" i="1"/>
  <c r="J73" i="1"/>
  <c r="K16" i="1"/>
  <c r="L16" i="1"/>
  <c r="J16" i="1"/>
  <c r="H16" i="1"/>
  <c r="M16" i="1"/>
  <c r="C16" i="1"/>
  <c r="D16" i="1"/>
  <c r="E16" i="1"/>
  <c r="I51" i="1"/>
  <c r="I59" i="1" s="1"/>
  <c r="M52" i="1"/>
  <c r="M60" i="1" s="1"/>
  <c r="M50" i="1"/>
  <c r="G17" i="1"/>
  <c r="F16" i="1"/>
  <c r="H17" i="1"/>
  <c r="G18" i="1"/>
  <c r="G32" i="1" s="1"/>
  <c r="G46" i="1" s="1"/>
  <c r="E14" i="1"/>
  <c r="E28" i="1" s="1"/>
  <c r="E42" i="1" s="1"/>
  <c r="J14" i="1"/>
  <c r="J28" i="1" s="1"/>
  <c r="J42" i="1" s="1"/>
  <c r="I14" i="1"/>
  <c r="I28" i="1" s="1"/>
  <c r="I42" i="1" s="1"/>
  <c r="I57" i="1" s="1"/>
  <c r="C14" i="1"/>
  <c r="C28" i="1" s="1"/>
  <c r="C42" i="1" s="1"/>
  <c r="F14" i="1"/>
  <c r="F28" i="1" s="1"/>
  <c r="F42" i="1" s="1"/>
  <c r="M14" i="1"/>
  <c r="M28" i="1" s="1"/>
  <c r="M42" i="1" s="1"/>
  <c r="L14" i="1"/>
  <c r="L28" i="1" s="1"/>
  <c r="L42" i="1" s="1"/>
  <c r="D14" i="1"/>
  <c r="D28" i="1" s="1"/>
  <c r="D42" i="1" s="1"/>
  <c r="H14" i="1"/>
  <c r="H28" i="1" s="1"/>
  <c r="H42" i="1" s="1"/>
  <c r="G14" i="1"/>
  <c r="G28" i="1" s="1"/>
  <c r="G42" i="1" s="1"/>
  <c r="F22" i="1"/>
  <c r="F36" i="1" s="1"/>
  <c r="M18" i="1"/>
  <c r="M32" i="1" s="1"/>
  <c r="M46" i="1" s="1"/>
  <c r="E18" i="1"/>
  <c r="E32" i="1" s="1"/>
  <c r="E46" i="1" s="1"/>
  <c r="H18" i="1"/>
  <c r="H32" i="1" s="1"/>
  <c r="H46" i="1" s="1"/>
  <c r="K18" i="1"/>
  <c r="K32" i="1" s="1"/>
  <c r="K46" i="1" s="1"/>
  <c r="J18" i="1"/>
  <c r="J32" i="1" s="1"/>
  <c r="J46" i="1" s="1"/>
  <c r="L18" i="1"/>
  <c r="L32" i="1" s="1"/>
  <c r="L46" i="1" s="1"/>
  <c r="C18" i="1"/>
  <c r="C32" i="1" s="1"/>
  <c r="C46" i="1" s="1"/>
  <c r="D18" i="1"/>
  <c r="D32" i="1" s="1"/>
  <c r="D46" i="1" s="1"/>
  <c r="J23" i="1"/>
  <c r="J37" i="1" s="1"/>
  <c r="F24" i="1"/>
  <c r="F38" i="1" s="1"/>
  <c r="J25" i="1"/>
  <c r="J39" i="1" s="1"/>
  <c r="J53" i="1" s="1"/>
  <c r="C21" i="1"/>
  <c r="C35" i="1" s="1"/>
  <c r="G22" i="1"/>
  <c r="G36" i="1" s="1"/>
  <c r="K23" i="1"/>
  <c r="K37" i="1" s="1"/>
  <c r="C25" i="1"/>
  <c r="C39" i="1" s="1"/>
  <c r="G26" i="1"/>
  <c r="G40" i="1" s="1"/>
  <c r="D21" i="1"/>
  <c r="D35" i="1" s="1"/>
  <c r="D49" i="1" s="1"/>
  <c r="L21" i="1"/>
  <c r="L35" i="1" s="1"/>
  <c r="L49" i="1" s="1"/>
  <c r="H22" i="1"/>
  <c r="H36" i="1" s="1"/>
  <c r="D23" i="1"/>
  <c r="D37" i="1" s="1"/>
  <c r="L23" i="1"/>
  <c r="L37" i="1" s="1"/>
  <c r="H24" i="1"/>
  <c r="H38" i="1" s="1"/>
  <c r="D25" i="1"/>
  <c r="D39" i="1" s="1"/>
  <c r="D53" i="1" s="1"/>
  <c r="L25" i="1"/>
  <c r="L39" i="1" s="1"/>
  <c r="L53" i="1" s="1"/>
  <c r="H26" i="1"/>
  <c r="H40" i="1" s="1"/>
  <c r="J21" i="1"/>
  <c r="J35" i="1" s="1"/>
  <c r="J49" i="1" s="1"/>
  <c r="F26" i="1"/>
  <c r="F40" i="1" s="1"/>
  <c r="K21" i="1"/>
  <c r="K35" i="1" s="1"/>
  <c r="K49" i="1" s="1"/>
  <c r="K57" i="1" s="1"/>
  <c r="C23" i="1"/>
  <c r="C37" i="1" s="1"/>
  <c r="G24" i="1"/>
  <c r="G38" i="1" s="1"/>
  <c r="K25" i="1"/>
  <c r="K39" i="1" s="1"/>
  <c r="K53" i="1" s="1"/>
  <c r="E21" i="1"/>
  <c r="E35" i="1" s="1"/>
  <c r="E49" i="1" s="1"/>
  <c r="M21" i="1"/>
  <c r="M35" i="1" s="1"/>
  <c r="M49" i="1" s="1"/>
  <c r="I22" i="1"/>
  <c r="I36" i="1" s="1"/>
  <c r="E23" i="1"/>
  <c r="E37" i="1" s="1"/>
  <c r="M23" i="1"/>
  <c r="M37" i="1" s="1"/>
  <c r="I24" i="1"/>
  <c r="I38" i="1" s="1"/>
  <c r="E25" i="1"/>
  <c r="E39" i="1" s="1"/>
  <c r="E53" i="1" s="1"/>
  <c r="M25" i="1"/>
  <c r="M39" i="1" s="1"/>
  <c r="M53" i="1" s="1"/>
  <c r="I26" i="1"/>
  <c r="I40" i="1" s="1"/>
  <c r="G21" i="1"/>
  <c r="G35" i="1" s="1"/>
  <c r="G49" i="1" s="1"/>
  <c r="C22" i="1"/>
  <c r="C36" i="1" s="1"/>
  <c r="K22" i="1"/>
  <c r="K36" i="1" s="1"/>
  <c r="G23" i="1"/>
  <c r="G37" i="1" s="1"/>
  <c r="C24" i="1"/>
  <c r="C38" i="1" s="1"/>
  <c r="K24" i="1"/>
  <c r="K38" i="1" s="1"/>
  <c r="G25" i="1"/>
  <c r="G39" i="1" s="1"/>
  <c r="G53" i="1" s="1"/>
  <c r="C26" i="1"/>
  <c r="C40" i="1" s="1"/>
  <c r="K26" i="1"/>
  <c r="K40" i="1" s="1"/>
  <c r="F21" i="1"/>
  <c r="F35" i="1" s="1"/>
  <c r="F49" i="1" s="1"/>
  <c r="J24" i="1"/>
  <c r="J38" i="1" s="1"/>
  <c r="F25" i="1"/>
  <c r="F39" i="1" s="1"/>
  <c r="H21" i="1"/>
  <c r="H35" i="1" s="1"/>
  <c r="H49" i="1" s="1"/>
  <c r="D22" i="1"/>
  <c r="D36" i="1" s="1"/>
  <c r="L22" i="1"/>
  <c r="L36" i="1" s="1"/>
  <c r="H23" i="1"/>
  <c r="H37" i="1" s="1"/>
  <c r="D24" i="1"/>
  <c r="D38" i="1" s="1"/>
  <c r="L24" i="1"/>
  <c r="L38" i="1" s="1"/>
  <c r="H25" i="1"/>
  <c r="H39" i="1" s="1"/>
  <c r="D26" i="1"/>
  <c r="D40" i="1" s="1"/>
  <c r="L26" i="1"/>
  <c r="L40" i="1" s="1"/>
  <c r="J22" i="1"/>
  <c r="J36" i="1" s="1"/>
  <c r="F23" i="1"/>
  <c r="F37" i="1" s="1"/>
  <c r="J26" i="1"/>
  <c r="J40" i="1" s="1"/>
  <c r="E22" i="1"/>
  <c r="E36" i="1" s="1"/>
  <c r="E24" i="1"/>
  <c r="E38" i="1" s="1"/>
  <c r="E26" i="1"/>
  <c r="E40" i="1" s="1"/>
  <c r="G19" i="1"/>
  <c r="H19" i="1"/>
  <c r="F19" i="1"/>
  <c r="F17" i="1"/>
  <c r="F15" i="1"/>
  <c r="F29" i="1" s="1"/>
  <c r="F43" i="1" s="1"/>
  <c r="G15" i="1"/>
  <c r="G29" i="1" s="1"/>
  <c r="G43" i="1" s="1"/>
  <c r="H15" i="1"/>
  <c r="H29" i="1" s="1"/>
  <c r="H43" i="1" s="1"/>
  <c r="J15" i="1"/>
  <c r="J29" i="1" s="1"/>
  <c r="J43" i="1" s="1"/>
  <c r="J17" i="1"/>
  <c r="J19" i="1"/>
  <c r="C15" i="1"/>
  <c r="C29" i="1" s="1"/>
  <c r="K15" i="1"/>
  <c r="K29" i="1" s="1"/>
  <c r="K43" i="1" s="1"/>
  <c r="C17" i="1"/>
  <c r="C19" i="1"/>
  <c r="D19" i="1"/>
  <c r="E15" i="1"/>
  <c r="E29" i="1" s="1"/>
  <c r="E43" i="1" s="1"/>
  <c r="M15" i="1"/>
  <c r="M29" i="1" s="1"/>
  <c r="M43" i="1" s="1"/>
  <c r="I16" i="1"/>
  <c r="E17" i="1"/>
  <c r="M17" i="1"/>
  <c r="I18" i="1"/>
  <c r="I32" i="1" s="1"/>
  <c r="I46" i="1" s="1"/>
  <c r="I61" i="1" s="1"/>
  <c r="E19" i="1"/>
  <c r="M19" i="1"/>
  <c r="K17" i="1"/>
  <c r="K19" i="1"/>
  <c r="D15" i="1"/>
  <c r="D29" i="1" s="1"/>
  <c r="D43" i="1" s="1"/>
  <c r="L15" i="1"/>
  <c r="L29" i="1" s="1"/>
  <c r="L43" i="1" s="1"/>
  <c r="D17" i="1"/>
  <c r="L17" i="1"/>
  <c r="L19" i="1"/>
  <c r="J78" i="5" l="1"/>
  <c r="I81" i="5"/>
  <c r="I82" i="5" s="1"/>
  <c r="I83" i="5" s="1"/>
  <c r="K61" i="1"/>
  <c r="G61" i="1"/>
  <c r="M61" i="1"/>
  <c r="M58" i="1"/>
  <c r="D61" i="1"/>
  <c r="E61" i="1"/>
  <c r="J61" i="1"/>
  <c r="L61" i="1"/>
  <c r="L57" i="1"/>
  <c r="N39" i="1"/>
  <c r="F51" i="1"/>
  <c r="F59" i="1" s="1"/>
  <c r="D50" i="1"/>
  <c r="D58" i="1" s="1"/>
  <c r="L54" i="1"/>
  <c r="L62" i="1" s="1"/>
  <c r="C52" i="1"/>
  <c r="C60" i="1" s="1"/>
  <c r="N38" i="1"/>
  <c r="I52" i="1"/>
  <c r="I60" i="1" s="1"/>
  <c r="N37" i="1"/>
  <c r="C51" i="1"/>
  <c r="C59" i="1" s="1"/>
  <c r="L51" i="1"/>
  <c r="L59" i="1" s="1"/>
  <c r="G50" i="1"/>
  <c r="G58" i="1" s="1"/>
  <c r="C53" i="1"/>
  <c r="C61" i="1" s="1"/>
  <c r="L50" i="1"/>
  <c r="L58" i="1" s="1"/>
  <c r="J50" i="1"/>
  <c r="J58" i="1" s="1"/>
  <c r="H52" i="1"/>
  <c r="H60" i="1" s="1"/>
  <c r="F53" i="1"/>
  <c r="F61" i="1" s="1"/>
  <c r="G51" i="1"/>
  <c r="G59" i="1" s="1"/>
  <c r="D51" i="1"/>
  <c r="D59" i="1" s="1"/>
  <c r="C43" i="1"/>
  <c r="N29" i="1"/>
  <c r="N43" i="1" s="1"/>
  <c r="D54" i="1"/>
  <c r="D62" i="1" s="1"/>
  <c r="M51" i="1"/>
  <c r="M59" i="1" s="1"/>
  <c r="E54" i="1"/>
  <c r="E62" i="1" s="1"/>
  <c r="H53" i="1"/>
  <c r="H61" i="1" s="1"/>
  <c r="J52" i="1"/>
  <c r="J60" i="1" s="1"/>
  <c r="K50" i="1"/>
  <c r="K58" i="1" s="1"/>
  <c r="E51" i="1"/>
  <c r="E59" i="1" s="1"/>
  <c r="F54" i="1"/>
  <c r="F62" i="1" s="1"/>
  <c r="H50" i="1"/>
  <c r="H58" i="1" s="1"/>
  <c r="K52" i="1"/>
  <c r="K60" i="1" s="1"/>
  <c r="K51" i="1"/>
  <c r="K59" i="1" s="1"/>
  <c r="F52" i="1"/>
  <c r="F60" i="1" s="1"/>
  <c r="I50" i="1"/>
  <c r="I58" i="1" s="1"/>
  <c r="E50" i="1"/>
  <c r="E58" i="1" s="1"/>
  <c r="D52" i="1"/>
  <c r="D60" i="1" s="1"/>
  <c r="K54" i="1"/>
  <c r="K62" i="1" s="1"/>
  <c r="H54" i="1"/>
  <c r="H62" i="1" s="1"/>
  <c r="J51" i="1"/>
  <c r="J59" i="1" s="1"/>
  <c r="N72" i="1"/>
  <c r="G52" i="1"/>
  <c r="G60" i="1" s="1"/>
  <c r="E52" i="1"/>
  <c r="E60" i="1" s="1"/>
  <c r="L52" i="1"/>
  <c r="L60" i="1" s="1"/>
  <c r="N36" i="1"/>
  <c r="C50" i="1"/>
  <c r="J54" i="1"/>
  <c r="J62" i="1" s="1"/>
  <c r="H51" i="1"/>
  <c r="H59" i="1" s="1"/>
  <c r="C54" i="1"/>
  <c r="C62" i="1" s="1"/>
  <c r="N40" i="1"/>
  <c r="I54" i="1"/>
  <c r="I62" i="1" s="1"/>
  <c r="G54" i="1"/>
  <c r="G62" i="1" s="1"/>
  <c r="F50" i="1"/>
  <c r="F58" i="1" s="1"/>
  <c r="G57" i="1"/>
  <c r="J57" i="1"/>
  <c r="D57" i="1"/>
  <c r="H57" i="1"/>
  <c r="E57" i="1"/>
  <c r="N35" i="1"/>
  <c r="C49" i="1"/>
  <c r="N49" i="1" s="1"/>
  <c r="M57" i="1"/>
  <c r="F57" i="1"/>
  <c r="N32" i="1"/>
  <c r="N46" i="1" s="1"/>
  <c r="N28" i="1"/>
  <c r="N42" i="1" s="1"/>
  <c r="I84" i="5" l="1"/>
  <c r="J79" i="5"/>
  <c r="K78" i="5"/>
  <c r="C58" i="1"/>
  <c r="L63" i="1"/>
  <c r="N54" i="1"/>
  <c r="N53" i="1"/>
  <c r="I63" i="1"/>
  <c r="K63" i="1"/>
  <c r="E63" i="1"/>
  <c r="N52" i="1"/>
  <c r="N51" i="1"/>
  <c r="H63" i="1"/>
  <c r="F63" i="1"/>
  <c r="G63" i="1"/>
  <c r="D63" i="1"/>
  <c r="M63" i="1"/>
  <c r="J63" i="1"/>
  <c r="N50" i="1"/>
  <c r="C57" i="1"/>
  <c r="C63" i="1" s="1"/>
  <c r="C65" i="1" s="1"/>
  <c r="C77" i="1" s="1"/>
  <c r="C80" i="1" s="1"/>
  <c r="K79" i="5" l="1"/>
  <c r="C81" i="1"/>
  <c r="G65" i="1"/>
  <c r="G77" i="1" s="1"/>
  <c r="G80" i="1" s="1"/>
  <c r="E65" i="1"/>
  <c r="E77" i="1" s="1"/>
  <c r="E80" i="1" s="1"/>
  <c r="K65" i="1"/>
  <c r="K77" i="1" s="1"/>
  <c r="K80" i="1" s="1"/>
  <c r="I65" i="1"/>
  <c r="I77" i="1" s="1"/>
  <c r="I80" i="1" s="1"/>
  <c r="H65" i="1"/>
  <c r="H77" i="1" s="1"/>
  <c r="H80" i="1" s="1"/>
  <c r="J65" i="1"/>
  <c r="J77" i="1" s="1"/>
  <c r="J80" i="1" s="1"/>
  <c r="M65" i="1"/>
  <c r="M77" i="1" s="1"/>
  <c r="M80" i="1" s="1"/>
  <c r="D65" i="1"/>
  <c r="D77" i="1" s="1"/>
  <c r="D80" i="1" s="1"/>
  <c r="F65" i="1"/>
  <c r="F77" i="1" s="1"/>
  <c r="F80" i="1" s="1"/>
  <c r="L65" i="1"/>
  <c r="L77" i="1" s="1"/>
  <c r="L80" i="1" s="1"/>
  <c r="N63" i="1"/>
  <c r="L78" i="5" l="1"/>
  <c r="C82" i="1"/>
  <c r="C83" i="1" s="1"/>
  <c r="C84" i="1" s="1"/>
  <c r="K81" i="1"/>
  <c r="K82" i="1" s="1"/>
  <c r="K83" i="1" s="1"/>
  <c r="K84" i="1" s="1"/>
  <c r="J81" i="1"/>
  <c r="J82" i="1" s="1"/>
  <c r="J83" i="1" s="1"/>
  <c r="J84" i="1" s="1"/>
  <c r="G81" i="1"/>
  <c r="G82" i="1" s="1"/>
  <c r="G83" i="1" s="1"/>
  <c r="G84" i="1" s="1"/>
  <c r="F81" i="1"/>
  <c r="F82" i="1" s="1"/>
  <c r="F83" i="1" s="1"/>
  <c r="E81" i="1"/>
  <c r="E82" i="1" s="1"/>
  <c r="E83" i="1" s="1"/>
  <c r="E84" i="1" s="1"/>
  <c r="H81" i="1"/>
  <c r="H82" i="1" s="1"/>
  <c r="H83" i="1" s="1"/>
  <c r="H84" i="1" s="1"/>
  <c r="I81" i="1"/>
  <c r="I82" i="1" s="1"/>
  <c r="I83" i="1" s="1"/>
  <c r="I84" i="1" s="1"/>
  <c r="M81" i="1"/>
  <c r="M82" i="1" s="1"/>
  <c r="M83" i="1" s="1"/>
  <c r="M84" i="1" s="1"/>
  <c r="L81" i="1"/>
  <c r="L82" i="1" s="1"/>
  <c r="L83" i="1" s="1"/>
  <c r="L84" i="1" s="1"/>
  <c r="D81" i="1"/>
  <c r="D82" i="1" s="1"/>
  <c r="D83" i="1" s="1"/>
  <c r="D84" i="1" s="1"/>
  <c r="L79" i="5" l="1"/>
  <c r="N83" i="1"/>
  <c r="F84" i="1"/>
  <c r="N84" i="1" s="1"/>
  <c r="M78" i="5" l="1"/>
  <c r="M79" i="5" s="1"/>
  <c r="H7" i="2"/>
  <c r="F11" i="2" s="1"/>
  <c r="L8" i="2" l="1"/>
  <c r="L9" i="2"/>
  <c r="J29" i="5"/>
  <c r="J36" i="5"/>
  <c r="J50" i="5" s="1"/>
  <c r="F24" i="2"/>
  <c r="J43" i="5" l="1"/>
  <c r="J58" i="5" s="1"/>
  <c r="M28" i="5"/>
  <c r="M42" i="5" s="1"/>
  <c r="K35" i="5"/>
  <c r="K49" i="5" s="1"/>
  <c r="L35" i="5"/>
  <c r="L49" i="5" s="1"/>
  <c r="M35" i="5"/>
  <c r="M49" i="5" s="1"/>
  <c r="L28" i="5"/>
  <c r="L42" i="5"/>
  <c r="K28" i="5"/>
  <c r="K42" i="5" s="1"/>
  <c r="J35" i="5"/>
  <c r="J49" i="5" s="1"/>
  <c r="F23" i="2"/>
  <c r="J28" i="5"/>
  <c r="M57" i="5" l="1"/>
  <c r="M63" i="5" s="1"/>
  <c r="M65" i="5" s="1"/>
  <c r="M77" i="5" s="1"/>
  <c r="M80" i="5" s="1"/>
  <c r="J42" i="5"/>
  <c r="K57" i="5"/>
  <c r="K63" i="5" s="1"/>
  <c r="K65" i="5" s="1"/>
  <c r="K77" i="5" s="1"/>
  <c r="K80" i="5" s="1"/>
  <c r="J57" i="5"/>
  <c r="J63" i="5" s="1"/>
  <c r="M81" i="5"/>
  <c r="M82" i="5" s="1"/>
  <c r="M83" i="5" s="1"/>
  <c r="M84" i="5" s="1"/>
  <c r="L57" i="5"/>
  <c r="L63" i="5" s="1"/>
  <c r="L65" i="5" s="1"/>
  <c r="L77" i="5" s="1"/>
  <c r="L80" i="5" s="1"/>
  <c r="L81" i="5" l="1"/>
  <c r="L82" i="5" s="1"/>
  <c r="L83" i="5" s="1"/>
  <c r="L84" i="5" s="1"/>
  <c r="J65" i="5"/>
  <c r="J77" i="5" s="1"/>
  <c r="J80" i="5" s="1"/>
  <c r="K81" i="5"/>
  <c r="K82" i="5" s="1"/>
  <c r="K83" i="5" s="1"/>
  <c r="K84" i="5" s="1"/>
  <c r="J81" i="5" l="1"/>
  <c r="J82" i="5" s="1"/>
  <c r="J83" i="5" s="1"/>
  <c r="J84" i="5" l="1"/>
</calcChain>
</file>

<file path=xl/sharedStrings.xml><?xml version="1.0" encoding="utf-8"?>
<sst xmlns="http://schemas.openxmlformats.org/spreadsheetml/2006/main" count="347" uniqueCount="106">
  <si>
    <t>Año</t>
  </si>
  <si>
    <t>Procesado</t>
  </si>
  <si>
    <t>kt</t>
  </si>
  <si>
    <t>g/t</t>
  </si>
  <si>
    <t>%</t>
  </si>
  <si>
    <t>Plata</t>
  </si>
  <si>
    <t>Zinc</t>
  </si>
  <si>
    <t>Plomo</t>
  </si>
  <si>
    <t>Cobre</t>
  </si>
  <si>
    <t>Oro</t>
  </si>
  <si>
    <t>Sb</t>
  </si>
  <si>
    <t>Grados Head</t>
  </si>
  <si>
    <t>Recoveries Conc Zinc</t>
  </si>
  <si>
    <t>Recoveries Conc Plata</t>
  </si>
  <si>
    <t>Metal en Conc Zinc</t>
  </si>
  <si>
    <t>Metal en Conc Plata</t>
  </si>
  <si>
    <t>Unidades</t>
  </si>
  <si>
    <t>koz</t>
  </si>
  <si>
    <t>Total</t>
  </si>
  <si>
    <t>Payability Conc Zinc</t>
  </si>
  <si>
    <t>Payability Conc Plata</t>
  </si>
  <si>
    <t>Precios</t>
  </si>
  <si>
    <t>$/oz</t>
  </si>
  <si>
    <t>$/t</t>
  </si>
  <si>
    <t>kUSD</t>
  </si>
  <si>
    <t>Costes</t>
  </si>
  <si>
    <t>Minado</t>
  </si>
  <si>
    <t>Molido</t>
  </si>
  <si>
    <t>G&amp;A</t>
  </si>
  <si>
    <t>Refine / Trans</t>
  </si>
  <si>
    <t>Sustaining</t>
  </si>
  <si>
    <t>kUSD/LOM</t>
  </si>
  <si>
    <t>Impuestos</t>
  </si>
  <si>
    <t>Taxes</t>
  </si>
  <si>
    <t>NPV</t>
  </si>
  <si>
    <t>Dilución</t>
  </si>
  <si>
    <t>Concesión</t>
  </si>
  <si>
    <t>$/mROM</t>
  </si>
  <si>
    <t>Descuento</t>
  </si>
  <si>
    <t>CAPEX</t>
  </si>
  <si>
    <t>Waste</t>
  </si>
  <si>
    <t>Gross Revenues</t>
  </si>
  <si>
    <t>RC / Transport</t>
  </si>
  <si>
    <t>Net Smelter Return</t>
  </si>
  <si>
    <t>Operating Costs</t>
  </si>
  <si>
    <t>Capital costs</t>
  </si>
  <si>
    <t>Exploration</t>
  </si>
  <si>
    <t>Propery, Plant &amp; Equipment</t>
  </si>
  <si>
    <t>Depreciation</t>
  </si>
  <si>
    <t>EBITDA</t>
  </si>
  <si>
    <t>Pre-tax income</t>
  </si>
  <si>
    <t>Operativos</t>
  </si>
  <si>
    <t>Por Q</t>
  </si>
  <si>
    <t>CAPEX pendiente</t>
  </si>
  <si>
    <t>Debt</t>
  </si>
  <si>
    <t>Total PP&amp;E</t>
  </si>
  <si>
    <t>Financials Junio'23</t>
  </si>
  <si>
    <t>PP&amp;E</t>
  </si>
  <si>
    <t>Resevas</t>
  </si>
  <si>
    <t>After-tax income</t>
  </si>
  <si>
    <t>Free-cash-flow</t>
  </si>
  <si>
    <t>Current assets</t>
  </si>
  <si>
    <t>Current liabilities</t>
  </si>
  <si>
    <t>Debt (LT)</t>
  </si>
  <si>
    <t>Employee benefit plan</t>
  </si>
  <si>
    <t>Corporate NAV</t>
  </si>
  <si>
    <t>Hasta producción comercial (Abril'24)</t>
  </si>
  <si>
    <t xml:space="preserve">Cash </t>
  </si>
  <si>
    <t>Liquidez Jun'23</t>
  </si>
  <si>
    <t>Posición Abril'24</t>
  </si>
  <si>
    <t>Equity issued August</t>
  </si>
  <si>
    <t>Raised cash</t>
  </si>
  <si>
    <t>Expensed April 24</t>
  </si>
  <si>
    <t>LT Liabilites</t>
  </si>
  <si>
    <t>Orion Senior</t>
  </si>
  <si>
    <t>QRC</t>
  </si>
  <si>
    <t>Stream</t>
  </si>
  <si>
    <t>Total LT Liab</t>
  </si>
  <si>
    <t>Q12024E</t>
  </si>
  <si>
    <t>Tipo de descuento</t>
  </si>
  <si>
    <t>NAV (M$)</t>
  </si>
  <si>
    <t>HQ</t>
  </si>
  <si>
    <t>NAV TOTAL (MUSD)</t>
  </si>
  <si>
    <t>Shares outstanding</t>
  </si>
  <si>
    <t>NAV TOTAL (MAUD)</t>
  </si>
  <si>
    <t>NAVPS</t>
  </si>
  <si>
    <t>Price to NAV ratio</t>
  </si>
  <si>
    <t>Current SP</t>
  </si>
  <si>
    <t>Upside stock</t>
  </si>
  <si>
    <t>Mercado australiano</t>
  </si>
  <si>
    <t>Vares Ampliado Rupice NW</t>
  </si>
  <si>
    <t>Vares Base (BA)</t>
  </si>
  <si>
    <t>kg</t>
  </si>
  <si>
    <t>oz troy</t>
  </si>
  <si>
    <t>Zn</t>
  </si>
  <si>
    <t>Ag</t>
  </si>
  <si>
    <t>Pb</t>
  </si>
  <si>
    <t>Cu</t>
  </si>
  <si>
    <t>Au</t>
  </si>
  <si>
    <t>Development</t>
  </si>
  <si>
    <t>AUD</t>
  </si>
  <si>
    <t>USD</t>
  </si>
  <si>
    <t>NAT TOTAL (M$)</t>
  </si>
  <si>
    <t>NAV TOTAL MAUD)</t>
  </si>
  <si>
    <t>NAV TARGET</t>
  </si>
  <si>
    <t>Grados 10 primeros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</si>
</sst>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10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/>
    <xf numFmtId="10" fontId="0" fillId="0" borderId="5" xfId="0" applyNumberFormat="1" applyBorder="1"/>
    <xf numFmtId="4" fontId="0" fillId="0" borderId="5" xfId="0" applyNumberFormat="1" applyBorder="1"/>
    <xf numFmtId="3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2" fontId="0" fillId="2" borderId="0" xfId="0" applyNumberFormat="1" applyFill="1"/>
    <xf numFmtId="165" fontId="0" fillId="2" borderId="0" xfId="0" applyNumberFormat="1" applyFill="1"/>
    <xf numFmtId="4" fontId="0" fillId="0" borderId="8" xfId="0" applyNumberFormat="1" applyBorder="1"/>
    <xf numFmtId="0" fontId="0" fillId="0" borderId="1" xfId="0" applyBorder="1"/>
    <xf numFmtId="0" fontId="0" fillId="0" borderId="2" xfId="0" applyBorder="1"/>
    <xf numFmtId="10" fontId="0" fillId="0" borderId="3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130" zoomScaleNormal="130" workbookViewId="0">
      <selection activeCell="F23" sqref="F23"/>
    </sheetView>
  </sheetViews>
  <sheetFormatPr baseColWidth="10" defaultRowHeight="15" x14ac:dyDescent="0.25"/>
  <cols>
    <col min="1" max="1" width="19.42578125" customWidth="1"/>
    <col min="2" max="2" width="14.7109375" customWidth="1"/>
    <col min="8" max="8" width="12.5703125" bestFit="1" customWidth="1"/>
  </cols>
  <sheetData>
    <row r="1" spans="1:13" x14ac:dyDescent="0.25">
      <c r="A1" s="5" t="s">
        <v>16</v>
      </c>
    </row>
    <row r="2" spans="1:13" x14ac:dyDescent="0.25">
      <c r="A2" t="s">
        <v>92</v>
      </c>
      <c r="B2">
        <v>32.150743126506001</v>
      </c>
      <c r="C2" t="s">
        <v>93</v>
      </c>
    </row>
    <row r="3" spans="1:13" x14ac:dyDescent="0.25">
      <c r="A3" t="s">
        <v>100</v>
      </c>
      <c r="B3">
        <v>0.63224000000000002</v>
      </c>
      <c r="C3" t="s">
        <v>101</v>
      </c>
    </row>
    <row r="4" spans="1:13" ht="15.75" thickBot="1" x14ac:dyDescent="0.3">
      <c r="A4" s="5" t="s">
        <v>21</v>
      </c>
      <c r="J4" s="25" t="s">
        <v>89</v>
      </c>
      <c r="K4" s="25"/>
      <c r="L4" s="25"/>
      <c r="M4" s="25"/>
    </row>
    <row r="5" spans="1:13" x14ac:dyDescent="0.25">
      <c r="A5" t="s">
        <v>5</v>
      </c>
      <c r="B5">
        <v>25</v>
      </c>
      <c r="C5" t="s">
        <v>22</v>
      </c>
      <c r="F5" s="36" t="s">
        <v>91</v>
      </c>
      <c r="G5" s="37"/>
      <c r="H5" s="38"/>
      <c r="J5" s="30" t="s">
        <v>83</v>
      </c>
      <c r="K5" s="31"/>
      <c r="L5" s="32">
        <v>306200000</v>
      </c>
      <c r="M5" s="33"/>
    </row>
    <row r="6" spans="1:13" x14ac:dyDescent="0.25">
      <c r="A6" t="s">
        <v>6</v>
      </c>
      <c r="B6">
        <v>3000</v>
      </c>
      <c r="C6" t="s">
        <v>23</v>
      </c>
      <c r="F6" s="10" t="s">
        <v>79</v>
      </c>
      <c r="H6" s="11">
        <v>0.08</v>
      </c>
      <c r="J6" s="34" t="s">
        <v>85</v>
      </c>
      <c r="K6" s="35"/>
      <c r="L6" s="26">
        <f>F13/(L5/1000000)*K24</f>
        <v>4.6036959429074491</v>
      </c>
      <c r="M6" s="27"/>
    </row>
    <row r="7" spans="1:13" x14ac:dyDescent="0.25">
      <c r="A7" t="s">
        <v>7</v>
      </c>
      <c r="B7">
        <v>2300</v>
      </c>
      <c r="C7" t="s">
        <v>23</v>
      </c>
      <c r="F7" s="39" t="s">
        <v>80</v>
      </c>
      <c r="G7" s="40"/>
      <c r="H7" s="12">
        <f>'Vares Base NAV'!N84/1000</f>
        <v>1258.7557367067418</v>
      </c>
      <c r="J7" s="34" t="s">
        <v>87</v>
      </c>
      <c r="K7" s="35"/>
      <c r="L7" s="26">
        <v>3.41</v>
      </c>
      <c r="M7" s="27"/>
    </row>
    <row r="8" spans="1:13" x14ac:dyDescent="0.25">
      <c r="A8" t="s">
        <v>8</v>
      </c>
      <c r="B8">
        <v>9500</v>
      </c>
      <c r="C8" t="s">
        <v>23</v>
      </c>
      <c r="F8" s="41" t="s">
        <v>81</v>
      </c>
      <c r="G8" s="42"/>
      <c r="H8" s="43"/>
      <c r="J8" s="34" t="s">
        <v>86</v>
      </c>
      <c r="K8" s="35"/>
      <c r="L8" s="26">
        <f>L7/L6</f>
        <v>0.74070921326885586</v>
      </c>
      <c r="M8" s="27"/>
    </row>
    <row r="9" spans="1:13" ht="15.75" thickBot="1" x14ac:dyDescent="0.3">
      <c r="A9" t="s">
        <v>9</v>
      </c>
      <c r="B9">
        <v>1800</v>
      </c>
      <c r="C9" t="s">
        <v>22</v>
      </c>
      <c r="F9" s="39" t="s">
        <v>80</v>
      </c>
      <c r="G9" s="40"/>
      <c r="H9" s="13">
        <f>'HQ NAV'!C6/1000</f>
        <v>-144.708</v>
      </c>
      <c r="J9" s="24" t="s">
        <v>88</v>
      </c>
      <c r="K9" s="25"/>
      <c r="L9" s="28">
        <f>(L6-L7)/L7</f>
        <v>0.35005746126318149</v>
      </c>
      <c r="M9" s="29"/>
    </row>
    <row r="10" spans="1:13" x14ac:dyDescent="0.25">
      <c r="A10" t="s">
        <v>10</v>
      </c>
      <c r="B10">
        <v>2300</v>
      </c>
      <c r="C10" t="s">
        <v>23</v>
      </c>
      <c r="F10" s="41" t="s">
        <v>82</v>
      </c>
      <c r="G10" s="42"/>
      <c r="H10" s="43"/>
    </row>
    <row r="11" spans="1:13" x14ac:dyDescent="0.25">
      <c r="F11" s="44">
        <f>H7+H9</f>
        <v>1114.0477367067417</v>
      </c>
      <c r="G11" s="35"/>
      <c r="H11" s="45"/>
    </row>
    <row r="12" spans="1:13" x14ac:dyDescent="0.25">
      <c r="A12" t="s">
        <v>25</v>
      </c>
      <c r="F12" s="41" t="s">
        <v>84</v>
      </c>
      <c r="G12" s="42"/>
      <c r="H12" s="43"/>
    </row>
    <row r="13" spans="1:13" ht="15.75" thickBot="1" x14ac:dyDescent="0.3">
      <c r="A13" t="s">
        <v>26</v>
      </c>
      <c r="B13">
        <v>24.1</v>
      </c>
      <c r="C13" t="s">
        <v>23</v>
      </c>
      <c r="F13" s="48">
        <f>F11/B3</f>
        <v>1762.0646221478262</v>
      </c>
      <c r="G13" s="49"/>
      <c r="H13" s="50"/>
    </row>
    <row r="14" spans="1:13" x14ac:dyDescent="0.25">
      <c r="A14" t="s">
        <v>27</v>
      </c>
      <c r="B14">
        <v>30</v>
      </c>
      <c r="C14" t="s">
        <v>23</v>
      </c>
    </row>
    <row r="15" spans="1:13" ht="15.75" thickBot="1" x14ac:dyDescent="0.3">
      <c r="A15" t="s">
        <v>1</v>
      </c>
      <c r="B15">
        <v>30.3</v>
      </c>
      <c r="C15" t="s">
        <v>23</v>
      </c>
    </row>
    <row r="16" spans="1:13" ht="15.75" thickBot="1" x14ac:dyDescent="0.3">
      <c r="A16" t="s">
        <v>28</v>
      </c>
      <c r="B16">
        <v>7.7</v>
      </c>
      <c r="C16" t="s">
        <v>23</v>
      </c>
      <c r="F16" s="36" t="s">
        <v>90</v>
      </c>
      <c r="G16" s="37"/>
      <c r="H16" s="38"/>
      <c r="J16" s="25" t="s">
        <v>89</v>
      </c>
      <c r="K16" s="25"/>
      <c r="L16" s="25"/>
      <c r="M16" s="25"/>
    </row>
    <row r="17" spans="1:13" x14ac:dyDescent="0.25">
      <c r="A17" t="s">
        <v>29</v>
      </c>
      <c r="B17">
        <v>35.700000000000003</v>
      </c>
      <c r="C17" t="s">
        <v>23</v>
      </c>
      <c r="F17" s="21" t="s">
        <v>79</v>
      </c>
      <c r="G17" s="22"/>
      <c r="H17" s="23">
        <v>0.08</v>
      </c>
      <c r="J17" s="30" t="s">
        <v>83</v>
      </c>
      <c r="K17" s="31"/>
      <c r="L17" s="32">
        <v>306200000</v>
      </c>
      <c r="M17" s="33"/>
    </row>
    <row r="18" spans="1:13" x14ac:dyDescent="0.25">
      <c r="A18" t="s">
        <v>30</v>
      </c>
      <c r="B18">
        <v>32000</v>
      </c>
      <c r="C18" t="s">
        <v>31</v>
      </c>
      <c r="F18" s="39" t="s">
        <v>80</v>
      </c>
      <c r="G18" s="40"/>
      <c r="H18" s="12">
        <f>SUM('Vares Ampliado NAV'!C84:U84)/1000</f>
        <v>1857.0197949336534</v>
      </c>
      <c r="J18" s="34" t="s">
        <v>85</v>
      </c>
      <c r="K18" s="35"/>
      <c r="L18" s="26">
        <f>H20/(L17/1000000)*K24</f>
        <v>7.0759650628900461</v>
      </c>
      <c r="M18" s="27"/>
    </row>
    <row r="19" spans="1:13" x14ac:dyDescent="0.25">
      <c r="A19" t="s">
        <v>36</v>
      </c>
      <c r="B19">
        <v>2.11</v>
      </c>
      <c r="C19" t="s">
        <v>37</v>
      </c>
      <c r="F19" s="39" t="s">
        <v>102</v>
      </c>
      <c r="G19" s="40"/>
      <c r="H19" s="12">
        <f>H18+H9</f>
        <v>1712.3117949336533</v>
      </c>
      <c r="J19" s="34" t="s">
        <v>87</v>
      </c>
      <c r="K19" s="35"/>
      <c r="L19" s="26">
        <v>3.41</v>
      </c>
      <c r="M19" s="27"/>
    </row>
    <row r="20" spans="1:13" ht="15.75" thickBot="1" x14ac:dyDescent="0.3">
      <c r="F20" s="46" t="s">
        <v>103</v>
      </c>
      <c r="G20" s="47"/>
      <c r="H20" s="20">
        <f>H19/B3</f>
        <v>2708.3256278211647</v>
      </c>
      <c r="J20" s="34" t="s">
        <v>86</v>
      </c>
      <c r="K20" s="35"/>
      <c r="L20" s="26">
        <f>L19/L18</f>
        <v>0.48191306340442119</v>
      </c>
      <c r="M20" s="27"/>
    </row>
    <row r="21" spans="1:13" ht="15.75" thickBot="1" x14ac:dyDescent="0.3">
      <c r="A21" t="s">
        <v>35</v>
      </c>
      <c r="B21" s="1">
        <v>0.13</v>
      </c>
      <c r="J21" s="24" t="s">
        <v>88</v>
      </c>
      <c r="K21" s="25"/>
      <c r="L21" s="28">
        <f>(L18-L19)/L19</f>
        <v>1.075063068296201</v>
      </c>
      <c r="M21" s="29"/>
    </row>
    <row r="22" spans="1:13" x14ac:dyDescent="0.25">
      <c r="E22" s="35" t="s">
        <v>105</v>
      </c>
      <c r="F22" s="35"/>
    </row>
    <row r="23" spans="1:13" x14ac:dyDescent="0.25">
      <c r="A23" t="s">
        <v>32</v>
      </c>
      <c r="B23" s="2">
        <v>0.1</v>
      </c>
      <c r="E23" t="s">
        <v>95</v>
      </c>
      <c r="F23" s="7">
        <f>SUM('Vares Ampliado NAV'!C7:L7)/10</f>
        <v>226.29999999999995</v>
      </c>
    </row>
    <row r="24" spans="1:13" x14ac:dyDescent="0.25">
      <c r="A24" t="s">
        <v>38</v>
      </c>
      <c r="E24" t="s">
        <v>94</v>
      </c>
      <c r="F24" s="2">
        <f>SUM('Vares Ampliado NAV'!C8:L8)/10</f>
        <v>6.6533333333333319E-2</v>
      </c>
      <c r="J24" t="s">
        <v>104</v>
      </c>
      <c r="K24">
        <v>0.8</v>
      </c>
    </row>
    <row r="25" spans="1:13" x14ac:dyDescent="0.25">
      <c r="A25" t="s">
        <v>39</v>
      </c>
      <c r="B25" s="3">
        <v>168000</v>
      </c>
      <c r="C25" t="s">
        <v>24</v>
      </c>
      <c r="E25" t="s">
        <v>96</v>
      </c>
      <c r="F25" s="2">
        <f>SUM('Vares Ampliado NAV'!C9:L9)/10</f>
        <v>4.1200000000000014E-2</v>
      </c>
    </row>
    <row r="26" spans="1:13" x14ac:dyDescent="0.25">
      <c r="E26" t="s">
        <v>97</v>
      </c>
      <c r="F26" s="2">
        <f>SUM('Vares Ampliado NAV'!C10:L10)/10</f>
        <v>7.1333333333333335E-3</v>
      </c>
    </row>
    <row r="27" spans="1:13" x14ac:dyDescent="0.25">
      <c r="A27" s="35" t="s">
        <v>56</v>
      </c>
      <c r="B27" s="35"/>
      <c r="C27" s="35"/>
      <c r="E27" t="s">
        <v>98</v>
      </c>
      <c r="F27">
        <f>SUM('Vares Ampliado NAV'!C11:L11)/10</f>
        <v>2.1633333333333331</v>
      </c>
    </row>
    <row r="28" spans="1:13" x14ac:dyDescent="0.25">
      <c r="A28" t="s">
        <v>57</v>
      </c>
      <c r="B28">
        <v>128000</v>
      </c>
      <c r="E28" t="s">
        <v>10</v>
      </c>
      <c r="F28" s="2">
        <f>SUM('Vares Ampliado NAV'!C12:L12)/10</f>
        <v>2.4000000000000002E-3</v>
      </c>
    </row>
    <row r="29" spans="1:13" x14ac:dyDescent="0.25">
      <c r="A29" s="35" t="s">
        <v>66</v>
      </c>
      <c r="B29" s="35"/>
      <c r="C29" t="s">
        <v>52</v>
      </c>
    </row>
    <row r="30" spans="1:13" x14ac:dyDescent="0.25">
      <c r="A30" t="s">
        <v>51</v>
      </c>
      <c r="B30">
        <f>C30*3</f>
        <v>12000</v>
      </c>
      <c r="C30">
        <v>4000</v>
      </c>
    </row>
    <row r="31" spans="1:13" x14ac:dyDescent="0.25">
      <c r="A31" s="35" t="s">
        <v>53</v>
      </c>
      <c r="B31" s="35"/>
    </row>
    <row r="32" spans="1:13" x14ac:dyDescent="0.25">
      <c r="B32">
        <v>75700</v>
      </c>
      <c r="C32">
        <v>1.1499999999999999</v>
      </c>
    </row>
    <row r="33" spans="1:2" x14ac:dyDescent="0.25">
      <c r="A33" t="s">
        <v>55</v>
      </c>
      <c r="B33">
        <f>B28+B32</f>
        <v>203700</v>
      </c>
    </row>
    <row r="34" spans="1:2" x14ac:dyDescent="0.25">
      <c r="A34" s="35" t="s">
        <v>68</v>
      </c>
      <c r="B34" s="35"/>
    </row>
    <row r="35" spans="1:2" x14ac:dyDescent="0.25">
      <c r="A35" t="s">
        <v>67</v>
      </c>
      <c r="B35">
        <v>85600</v>
      </c>
    </row>
    <row r="36" spans="1:2" x14ac:dyDescent="0.25">
      <c r="A36" t="s">
        <v>54</v>
      </c>
      <c r="B36">
        <v>30000</v>
      </c>
    </row>
    <row r="37" spans="1:2" x14ac:dyDescent="0.25">
      <c r="A37" s="35" t="s">
        <v>70</v>
      </c>
      <c r="B37" s="35"/>
    </row>
    <row r="38" spans="1:2" x14ac:dyDescent="0.25">
      <c r="A38" t="s">
        <v>71</v>
      </c>
      <c r="B38">
        <v>32000</v>
      </c>
    </row>
    <row r="39" spans="1:2" x14ac:dyDescent="0.25">
      <c r="A39" t="s">
        <v>72</v>
      </c>
      <c r="B39">
        <f>B38/2</f>
        <v>16000</v>
      </c>
    </row>
    <row r="40" spans="1:2" x14ac:dyDescent="0.25">
      <c r="A40" s="35" t="s">
        <v>69</v>
      </c>
      <c r="B40" s="35"/>
    </row>
    <row r="41" spans="1:2" x14ac:dyDescent="0.25">
      <c r="A41" t="s">
        <v>67</v>
      </c>
      <c r="B41">
        <f>B35+B36-B30-B32*C32+B38-B39</f>
        <v>32545</v>
      </c>
    </row>
    <row r="42" spans="1:2" x14ac:dyDescent="0.25">
      <c r="A42" s="35" t="s">
        <v>73</v>
      </c>
      <c r="B42" s="35"/>
    </row>
    <row r="43" spans="1:2" x14ac:dyDescent="0.25">
      <c r="A43" t="s">
        <v>74</v>
      </c>
      <c r="B43">
        <v>120000</v>
      </c>
    </row>
    <row r="44" spans="1:2" x14ac:dyDescent="0.25">
      <c r="A44" t="s">
        <v>75</v>
      </c>
      <c r="B44">
        <v>22700</v>
      </c>
    </row>
    <row r="45" spans="1:2" x14ac:dyDescent="0.25">
      <c r="A45" t="s">
        <v>76</v>
      </c>
      <c r="B45">
        <v>34553</v>
      </c>
    </row>
    <row r="46" spans="1:2" x14ac:dyDescent="0.25">
      <c r="A46" t="s">
        <v>77</v>
      </c>
      <c r="B46">
        <f>SUM(B43:B45)</f>
        <v>177253</v>
      </c>
    </row>
  </sheetData>
  <mergeCells count="42">
    <mergeCell ref="J4:M4"/>
    <mergeCell ref="F16:H16"/>
    <mergeCell ref="F18:G18"/>
    <mergeCell ref="E22:F22"/>
    <mergeCell ref="J16:M16"/>
    <mergeCell ref="J17:K17"/>
    <mergeCell ref="L17:M17"/>
    <mergeCell ref="J18:K18"/>
    <mergeCell ref="L18:M18"/>
    <mergeCell ref="J19:K19"/>
    <mergeCell ref="L19:M19"/>
    <mergeCell ref="J20:K20"/>
    <mergeCell ref="L20:M20"/>
    <mergeCell ref="J21:K21"/>
    <mergeCell ref="L21:M21"/>
    <mergeCell ref="F19:G19"/>
    <mergeCell ref="A34:B34"/>
    <mergeCell ref="A40:B40"/>
    <mergeCell ref="A37:B37"/>
    <mergeCell ref="A42:B42"/>
    <mergeCell ref="F5:H5"/>
    <mergeCell ref="F7:G7"/>
    <mergeCell ref="F8:H8"/>
    <mergeCell ref="F9:G9"/>
    <mergeCell ref="F10:H10"/>
    <mergeCell ref="F11:H11"/>
    <mergeCell ref="A29:B29"/>
    <mergeCell ref="A31:B31"/>
    <mergeCell ref="A27:C27"/>
    <mergeCell ref="F12:H12"/>
    <mergeCell ref="F20:G20"/>
    <mergeCell ref="F13:H13"/>
    <mergeCell ref="J5:K5"/>
    <mergeCell ref="L5:M5"/>
    <mergeCell ref="J6:K6"/>
    <mergeCell ref="J7:K7"/>
    <mergeCell ref="J8:K8"/>
    <mergeCell ref="J9:K9"/>
    <mergeCell ref="L6:M6"/>
    <mergeCell ref="L7:M7"/>
    <mergeCell ref="L8:M8"/>
    <mergeCell ref="L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4"/>
  <sheetViews>
    <sheetView zoomScale="140" zoomScaleNormal="140" workbookViewId="0">
      <selection activeCell="N7" sqref="N7:N12"/>
    </sheetView>
  </sheetViews>
  <sheetFormatPr baseColWidth="10" defaultRowHeight="15" x14ac:dyDescent="0.25"/>
  <cols>
    <col min="1" max="1" width="28.28515625" customWidth="1"/>
    <col min="3" max="3" width="14.140625" bestFit="1" customWidth="1"/>
  </cols>
  <sheetData>
    <row r="1" spans="1:14" x14ac:dyDescent="0.25"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  <c r="I1">
        <v>2030</v>
      </c>
      <c r="J1">
        <v>2031</v>
      </c>
      <c r="K1">
        <v>2032</v>
      </c>
      <c r="L1">
        <v>2033</v>
      </c>
      <c r="M1">
        <v>2034</v>
      </c>
    </row>
    <row r="2" spans="1:14" x14ac:dyDescent="0.25">
      <c r="A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</row>
    <row r="3" spans="1:14" x14ac:dyDescent="0.25">
      <c r="A3" t="s">
        <v>40</v>
      </c>
      <c r="B3" t="s">
        <v>2</v>
      </c>
      <c r="C3">
        <f>C4*Resumen!$B21</f>
        <v>82.94</v>
      </c>
      <c r="D3">
        <f>D4*Resumen!$B21</f>
        <v>104</v>
      </c>
      <c r="E3">
        <f>E4*Resumen!$B21</f>
        <v>104</v>
      </c>
      <c r="F3">
        <f>F4*Resumen!$B21</f>
        <v>104</v>
      </c>
      <c r="G3">
        <f>G4*Resumen!$B21</f>
        <v>104.26</v>
      </c>
      <c r="H3">
        <f>H4*Resumen!$B21</f>
        <v>104</v>
      </c>
      <c r="I3">
        <f>I4*Resumen!$B21</f>
        <v>103.22</v>
      </c>
      <c r="J3">
        <f>J4*Resumen!$B21</f>
        <v>100.75</v>
      </c>
      <c r="K3">
        <f>K4*Resumen!$B21</f>
        <v>99.97</v>
      </c>
      <c r="L3">
        <f>L4*Resumen!$B21</f>
        <v>12.74</v>
      </c>
      <c r="M3">
        <f>M4*Resumen!$B21</f>
        <v>24.18</v>
      </c>
    </row>
    <row r="4" spans="1:14" x14ac:dyDescent="0.25">
      <c r="A4" t="s">
        <v>1</v>
      </c>
      <c r="B4" t="s">
        <v>2</v>
      </c>
      <c r="C4">
        <v>638</v>
      </c>
      <c r="D4">
        <v>800</v>
      </c>
      <c r="E4">
        <v>800</v>
      </c>
      <c r="F4">
        <v>800</v>
      </c>
      <c r="G4">
        <v>802</v>
      </c>
      <c r="H4">
        <v>800</v>
      </c>
      <c r="I4">
        <v>794</v>
      </c>
      <c r="J4">
        <v>775</v>
      </c>
      <c r="K4">
        <v>769</v>
      </c>
      <c r="L4">
        <v>98</v>
      </c>
      <c r="M4">
        <v>186</v>
      </c>
      <c r="N4">
        <f>SUM(C4:M4)</f>
        <v>7262</v>
      </c>
    </row>
    <row r="5" spans="1:14" x14ac:dyDescent="0.25">
      <c r="A5" t="s">
        <v>58</v>
      </c>
      <c r="B5" t="s">
        <v>2</v>
      </c>
      <c r="C5">
        <f>N4</f>
        <v>7262</v>
      </c>
      <c r="D5">
        <f>C5-C4</f>
        <v>6624</v>
      </c>
      <c r="E5">
        <f t="shared" ref="E5:M5" si="0">D5-D4</f>
        <v>5824</v>
      </c>
      <c r="F5">
        <f t="shared" si="0"/>
        <v>5024</v>
      </c>
      <c r="G5">
        <f t="shared" si="0"/>
        <v>4224</v>
      </c>
      <c r="H5">
        <f t="shared" si="0"/>
        <v>3422</v>
      </c>
      <c r="I5">
        <f t="shared" si="0"/>
        <v>2622</v>
      </c>
      <c r="J5">
        <f t="shared" si="0"/>
        <v>1828</v>
      </c>
      <c r="K5">
        <f t="shared" si="0"/>
        <v>1053</v>
      </c>
      <c r="L5">
        <f t="shared" si="0"/>
        <v>284</v>
      </c>
      <c r="M5">
        <f t="shared" si="0"/>
        <v>186</v>
      </c>
    </row>
    <row r="6" spans="1:14" x14ac:dyDescent="0.25">
      <c r="A6" s="35" t="s">
        <v>11</v>
      </c>
      <c r="B6" s="35"/>
    </row>
    <row r="7" spans="1:14" x14ac:dyDescent="0.25">
      <c r="A7" t="s">
        <v>5</v>
      </c>
      <c r="B7" t="s">
        <v>3</v>
      </c>
      <c r="C7">
        <v>340</v>
      </c>
      <c r="D7">
        <v>242</v>
      </c>
      <c r="E7">
        <v>199</v>
      </c>
      <c r="F7">
        <v>204</v>
      </c>
      <c r="G7">
        <v>231</v>
      </c>
      <c r="H7">
        <v>240</v>
      </c>
      <c r="I7">
        <v>182</v>
      </c>
      <c r="J7">
        <v>127</v>
      </c>
      <c r="K7">
        <v>110</v>
      </c>
      <c r="L7">
        <v>98</v>
      </c>
      <c r="M7">
        <v>186</v>
      </c>
      <c r="N7">
        <f>SUM(C7:K7)/9</f>
        <v>208.33333333333334</v>
      </c>
    </row>
    <row r="8" spans="1:14" x14ac:dyDescent="0.25">
      <c r="A8" t="s">
        <v>6</v>
      </c>
      <c r="B8" t="s">
        <v>4</v>
      </c>
      <c r="C8" s="1">
        <v>6.6000000000000003E-2</v>
      </c>
      <c r="D8" s="1">
        <v>0.09</v>
      </c>
      <c r="E8" s="1">
        <v>9.5000000000000001E-2</v>
      </c>
      <c r="F8" s="1">
        <v>8.6999999999999994E-2</v>
      </c>
      <c r="G8" s="1">
        <v>5.3999999999999999E-2</v>
      </c>
      <c r="H8" s="1">
        <v>5.8999999999999997E-2</v>
      </c>
      <c r="I8" s="1">
        <v>3.6999999999999998E-2</v>
      </c>
      <c r="J8" s="1">
        <v>2.5999999999999999E-2</v>
      </c>
      <c r="K8" s="1">
        <v>1.7999999999999999E-2</v>
      </c>
      <c r="L8" s="1">
        <v>1.2999999999999999E-2</v>
      </c>
      <c r="M8" s="1">
        <v>1.4E-2</v>
      </c>
      <c r="N8">
        <f t="shared" ref="N8:N12" si="1">SUM(C8:K8)/9</f>
        <v>5.91111111111111E-2</v>
      </c>
    </row>
    <row r="9" spans="1:14" x14ac:dyDescent="0.25">
      <c r="A9" t="s">
        <v>7</v>
      </c>
      <c r="B9" t="s">
        <v>4</v>
      </c>
      <c r="C9" s="1">
        <v>4.3999999999999997E-2</v>
      </c>
      <c r="D9" s="1">
        <v>5.3999999999999999E-2</v>
      </c>
      <c r="E9" s="1">
        <v>5.7000000000000002E-2</v>
      </c>
      <c r="F9" s="1">
        <v>0.05</v>
      </c>
      <c r="G9" s="1">
        <v>3.3000000000000002E-2</v>
      </c>
      <c r="H9" s="1">
        <v>3.6999999999999998E-2</v>
      </c>
      <c r="I9" s="1">
        <v>2.5999999999999999E-2</v>
      </c>
      <c r="J9" s="1">
        <v>1.9E-2</v>
      </c>
      <c r="K9" s="1">
        <v>1.2999999999999999E-2</v>
      </c>
      <c r="L9" s="1">
        <v>0.01</v>
      </c>
      <c r="M9" s="1">
        <v>1.6E-2</v>
      </c>
      <c r="N9">
        <f t="shared" si="1"/>
        <v>3.7000000000000005E-2</v>
      </c>
    </row>
    <row r="10" spans="1:14" x14ac:dyDescent="0.25">
      <c r="A10" t="s">
        <v>8</v>
      </c>
      <c r="B10" t="s">
        <v>4</v>
      </c>
      <c r="C10" s="1">
        <v>7.0000000000000001E-3</v>
      </c>
      <c r="D10" s="1">
        <v>0.01</v>
      </c>
      <c r="E10" s="1">
        <v>1.0999999999999999E-2</v>
      </c>
      <c r="F10" s="1">
        <v>8.9999999999999993E-3</v>
      </c>
      <c r="G10" s="1">
        <v>6.0000000000000001E-3</v>
      </c>
      <c r="H10" s="1">
        <v>5.0000000000000001E-3</v>
      </c>
      <c r="I10" s="1">
        <v>4.0000000000000001E-3</v>
      </c>
      <c r="J10" s="1">
        <v>3.0000000000000001E-3</v>
      </c>
      <c r="K10" s="1">
        <v>3.0000000000000001E-3</v>
      </c>
      <c r="L10" s="1">
        <v>3.0000000000000001E-3</v>
      </c>
      <c r="M10" s="1">
        <v>4.0000000000000001E-3</v>
      </c>
      <c r="N10">
        <f t="shared" si="1"/>
        <v>6.4444444444444436E-3</v>
      </c>
    </row>
    <row r="11" spans="1:14" x14ac:dyDescent="0.25">
      <c r="A11" t="s">
        <v>9</v>
      </c>
      <c r="B11" t="s">
        <v>3</v>
      </c>
      <c r="C11">
        <v>2.8</v>
      </c>
      <c r="D11">
        <v>2.5</v>
      </c>
      <c r="E11">
        <v>2.1</v>
      </c>
      <c r="F11">
        <v>2.2999999999999998</v>
      </c>
      <c r="G11">
        <v>2.2999999999999998</v>
      </c>
      <c r="H11">
        <v>2.2000000000000002</v>
      </c>
      <c r="I11">
        <v>1.6</v>
      </c>
      <c r="J11">
        <v>1</v>
      </c>
      <c r="K11">
        <v>0.7</v>
      </c>
      <c r="L11">
        <v>0.6</v>
      </c>
      <c r="M11">
        <v>0.9</v>
      </c>
      <c r="N11">
        <f t="shared" si="1"/>
        <v>1.944444444444444</v>
      </c>
    </row>
    <row r="12" spans="1:14" x14ac:dyDescent="0.25">
      <c r="A12" t="s">
        <v>10</v>
      </c>
      <c r="B12" t="s">
        <v>4</v>
      </c>
      <c r="C12" s="1">
        <v>2E-3</v>
      </c>
      <c r="D12" s="1">
        <v>3.0000000000000001E-3</v>
      </c>
      <c r="E12" s="1">
        <v>3.0000000000000001E-3</v>
      </c>
      <c r="F12" s="1">
        <v>3.0000000000000001E-3</v>
      </c>
      <c r="G12" s="1">
        <v>2E-3</v>
      </c>
      <c r="H12" s="1">
        <v>2E-3</v>
      </c>
      <c r="I12" s="1">
        <v>2E-3</v>
      </c>
      <c r="J12" s="1">
        <v>2E-3</v>
      </c>
      <c r="K12" s="1">
        <v>2E-3</v>
      </c>
      <c r="L12" s="1">
        <v>2E-3</v>
      </c>
      <c r="M12" s="1">
        <v>3.0000000000000001E-3</v>
      </c>
      <c r="N12">
        <f t="shared" si="1"/>
        <v>2.333333333333334E-3</v>
      </c>
    </row>
    <row r="13" spans="1:14" x14ac:dyDescent="0.25">
      <c r="A13" s="35" t="s">
        <v>12</v>
      </c>
      <c r="B13" s="35"/>
    </row>
    <row r="14" spans="1:14" x14ac:dyDescent="0.25">
      <c r="A14" t="s">
        <v>5</v>
      </c>
      <c r="B14">
        <v>0.18</v>
      </c>
      <c r="C14" s="1">
        <f>$B14</f>
        <v>0.18</v>
      </c>
      <c r="D14" s="1">
        <f t="shared" ref="D14:M26" si="2">$B14</f>
        <v>0.18</v>
      </c>
      <c r="E14" s="1">
        <f t="shared" si="2"/>
        <v>0.18</v>
      </c>
      <c r="F14" s="1">
        <f t="shared" si="2"/>
        <v>0.18</v>
      </c>
      <c r="G14" s="1">
        <f t="shared" si="2"/>
        <v>0.18</v>
      </c>
      <c r="H14" s="1">
        <f t="shared" si="2"/>
        <v>0.18</v>
      </c>
      <c r="I14" s="1">
        <f t="shared" si="2"/>
        <v>0.18</v>
      </c>
      <c r="J14" s="1">
        <f t="shared" si="2"/>
        <v>0.18</v>
      </c>
      <c r="K14" s="1">
        <f t="shared" si="2"/>
        <v>0.18</v>
      </c>
      <c r="L14" s="1">
        <f t="shared" si="2"/>
        <v>0.18</v>
      </c>
      <c r="M14" s="1">
        <f t="shared" si="2"/>
        <v>0.18</v>
      </c>
    </row>
    <row r="15" spans="1:14" x14ac:dyDescent="0.25">
      <c r="A15" t="s">
        <v>6</v>
      </c>
      <c r="B15">
        <f>0.8</f>
        <v>0.8</v>
      </c>
      <c r="C15" s="1">
        <f t="shared" ref="C15:C26" si="3">$B15</f>
        <v>0.8</v>
      </c>
      <c r="D15" s="1">
        <f t="shared" si="2"/>
        <v>0.8</v>
      </c>
      <c r="E15" s="1">
        <f t="shared" si="2"/>
        <v>0.8</v>
      </c>
      <c r="F15" s="1">
        <f t="shared" si="2"/>
        <v>0.8</v>
      </c>
      <c r="G15" s="1">
        <f t="shared" si="2"/>
        <v>0.8</v>
      </c>
      <c r="H15" s="1">
        <f t="shared" si="2"/>
        <v>0.8</v>
      </c>
      <c r="I15" s="1">
        <f t="shared" si="2"/>
        <v>0.8</v>
      </c>
      <c r="J15" s="1">
        <f t="shared" si="2"/>
        <v>0.8</v>
      </c>
      <c r="K15" s="1">
        <f t="shared" si="2"/>
        <v>0.8</v>
      </c>
      <c r="L15" s="1">
        <f t="shared" si="2"/>
        <v>0.8</v>
      </c>
      <c r="M15" s="1">
        <f t="shared" si="2"/>
        <v>0.8</v>
      </c>
    </row>
    <row r="16" spans="1:14" x14ac:dyDescent="0.25">
      <c r="A16" t="s">
        <v>7</v>
      </c>
      <c r="B16">
        <f>0.07</f>
        <v>7.0000000000000007E-2</v>
      </c>
      <c r="C16" s="1">
        <f t="shared" si="3"/>
        <v>7.0000000000000007E-2</v>
      </c>
      <c r="D16" s="1">
        <f t="shared" si="2"/>
        <v>7.0000000000000007E-2</v>
      </c>
      <c r="E16" s="1">
        <f t="shared" si="2"/>
        <v>7.0000000000000007E-2</v>
      </c>
      <c r="F16" s="1">
        <f t="shared" si="2"/>
        <v>7.0000000000000007E-2</v>
      </c>
      <c r="G16" s="1">
        <f t="shared" si="2"/>
        <v>7.0000000000000007E-2</v>
      </c>
      <c r="H16" s="1">
        <f t="shared" si="2"/>
        <v>7.0000000000000007E-2</v>
      </c>
      <c r="I16" s="1">
        <f t="shared" si="2"/>
        <v>7.0000000000000007E-2</v>
      </c>
      <c r="J16" s="1">
        <f t="shared" si="2"/>
        <v>7.0000000000000007E-2</v>
      </c>
      <c r="K16" s="1">
        <f t="shared" si="2"/>
        <v>7.0000000000000007E-2</v>
      </c>
      <c r="L16" s="1">
        <f t="shared" si="2"/>
        <v>7.0000000000000007E-2</v>
      </c>
      <c r="M16" s="1">
        <f t="shared" si="2"/>
        <v>7.0000000000000007E-2</v>
      </c>
    </row>
    <row r="17" spans="1:14" x14ac:dyDescent="0.25">
      <c r="A17" t="s">
        <v>8</v>
      </c>
      <c r="B17">
        <f>0.14</f>
        <v>0.14000000000000001</v>
      </c>
      <c r="C17" s="1">
        <f t="shared" si="3"/>
        <v>0.14000000000000001</v>
      </c>
      <c r="D17" s="1">
        <f t="shared" si="2"/>
        <v>0.14000000000000001</v>
      </c>
      <c r="E17" s="1">
        <f t="shared" si="2"/>
        <v>0.14000000000000001</v>
      </c>
      <c r="F17" s="1">
        <f t="shared" si="2"/>
        <v>0.14000000000000001</v>
      </c>
      <c r="G17" s="1">
        <f t="shared" si="2"/>
        <v>0.14000000000000001</v>
      </c>
      <c r="H17" s="1">
        <f t="shared" si="2"/>
        <v>0.14000000000000001</v>
      </c>
      <c r="I17" s="1">
        <f t="shared" si="2"/>
        <v>0.14000000000000001</v>
      </c>
      <c r="J17" s="1">
        <f t="shared" si="2"/>
        <v>0.14000000000000001</v>
      </c>
      <c r="K17" s="1">
        <f t="shared" si="2"/>
        <v>0.14000000000000001</v>
      </c>
      <c r="L17" s="1">
        <f t="shared" si="2"/>
        <v>0.14000000000000001</v>
      </c>
      <c r="M17" s="1">
        <f t="shared" si="2"/>
        <v>0.14000000000000001</v>
      </c>
    </row>
    <row r="18" spans="1:14" x14ac:dyDescent="0.25">
      <c r="A18" t="s">
        <v>9</v>
      </c>
      <c r="B18">
        <f>0.248</f>
        <v>0.248</v>
      </c>
      <c r="C18" s="1">
        <f t="shared" si="3"/>
        <v>0.248</v>
      </c>
      <c r="D18" s="1">
        <f t="shared" si="2"/>
        <v>0.248</v>
      </c>
      <c r="E18" s="1">
        <f t="shared" si="2"/>
        <v>0.248</v>
      </c>
      <c r="F18" s="1">
        <f t="shared" si="2"/>
        <v>0.248</v>
      </c>
      <c r="G18" s="1">
        <f t="shared" si="2"/>
        <v>0.248</v>
      </c>
      <c r="H18" s="1">
        <f t="shared" si="2"/>
        <v>0.248</v>
      </c>
      <c r="I18" s="1">
        <f t="shared" si="2"/>
        <v>0.248</v>
      </c>
      <c r="J18" s="1">
        <f t="shared" si="2"/>
        <v>0.248</v>
      </c>
      <c r="K18" s="1">
        <f t="shared" si="2"/>
        <v>0.248</v>
      </c>
      <c r="L18" s="1">
        <f t="shared" si="2"/>
        <v>0.248</v>
      </c>
      <c r="M18" s="1">
        <f t="shared" si="2"/>
        <v>0.248</v>
      </c>
    </row>
    <row r="19" spans="1:14" x14ac:dyDescent="0.25">
      <c r="A19" t="s">
        <v>10</v>
      </c>
      <c r="B19">
        <f>0.06</f>
        <v>0.06</v>
      </c>
      <c r="C19" s="1">
        <f t="shared" si="3"/>
        <v>0.06</v>
      </c>
      <c r="D19" s="1">
        <f t="shared" si="2"/>
        <v>0.06</v>
      </c>
      <c r="E19" s="1">
        <f t="shared" si="2"/>
        <v>0.06</v>
      </c>
      <c r="F19" s="1">
        <f t="shared" si="2"/>
        <v>0.06</v>
      </c>
      <c r="G19" s="1">
        <f t="shared" si="2"/>
        <v>0.06</v>
      </c>
      <c r="H19" s="1">
        <f t="shared" si="2"/>
        <v>0.06</v>
      </c>
      <c r="I19" s="1">
        <f t="shared" si="2"/>
        <v>0.06</v>
      </c>
      <c r="J19" s="1">
        <f t="shared" si="2"/>
        <v>0.06</v>
      </c>
      <c r="K19" s="1">
        <f t="shared" si="2"/>
        <v>0.06</v>
      </c>
      <c r="L19" s="1">
        <f t="shared" si="2"/>
        <v>0.06</v>
      </c>
      <c r="M19" s="1">
        <f t="shared" si="2"/>
        <v>0.06</v>
      </c>
    </row>
    <row r="20" spans="1:14" x14ac:dyDescent="0.25">
      <c r="A20" s="35" t="s">
        <v>13</v>
      </c>
      <c r="B20" s="35"/>
    </row>
    <row r="21" spans="1:14" x14ac:dyDescent="0.25">
      <c r="A21" t="s">
        <v>5</v>
      </c>
      <c r="B21">
        <v>0.71</v>
      </c>
      <c r="C21" s="1">
        <f>$B21</f>
        <v>0.71</v>
      </c>
      <c r="D21" s="1">
        <f t="shared" si="2"/>
        <v>0.71</v>
      </c>
      <c r="E21" s="1">
        <f t="shared" si="2"/>
        <v>0.71</v>
      </c>
      <c r="F21" s="1">
        <f t="shared" si="2"/>
        <v>0.71</v>
      </c>
      <c r="G21" s="1">
        <f t="shared" si="2"/>
        <v>0.71</v>
      </c>
      <c r="H21" s="1">
        <f t="shared" si="2"/>
        <v>0.71</v>
      </c>
      <c r="I21" s="1">
        <f t="shared" si="2"/>
        <v>0.71</v>
      </c>
      <c r="J21" s="1">
        <f t="shared" si="2"/>
        <v>0.71</v>
      </c>
      <c r="K21" s="1">
        <f t="shared" si="2"/>
        <v>0.71</v>
      </c>
      <c r="L21" s="1">
        <f t="shared" si="2"/>
        <v>0.71</v>
      </c>
      <c r="M21" s="1">
        <f t="shared" si="2"/>
        <v>0.71</v>
      </c>
    </row>
    <row r="22" spans="1:14" x14ac:dyDescent="0.25">
      <c r="A22" t="s">
        <v>6</v>
      </c>
      <c r="B22">
        <f>0.11</f>
        <v>0.11</v>
      </c>
      <c r="C22" s="1">
        <f t="shared" si="3"/>
        <v>0.11</v>
      </c>
      <c r="D22" s="1">
        <f t="shared" si="2"/>
        <v>0.11</v>
      </c>
      <c r="E22" s="1">
        <f t="shared" si="2"/>
        <v>0.11</v>
      </c>
      <c r="F22" s="1">
        <f t="shared" si="2"/>
        <v>0.11</v>
      </c>
      <c r="G22" s="1">
        <f t="shared" si="2"/>
        <v>0.11</v>
      </c>
      <c r="H22" s="1">
        <f t="shared" si="2"/>
        <v>0.11</v>
      </c>
      <c r="I22" s="1">
        <f t="shared" si="2"/>
        <v>0.11</v>
      </c>
      <c r="J22" s="1">
        <f t="shared" si="2"/>
        <v>0.11</v>
      </c>
      <c r="K22" s="1">
        <f t="shared" si="2"/>
        <v>0.11</v>
      </c>
      <c r="L22" s="1">
        <f t="shared" si="2"/>
        <v>0.11</v>
      </c>
      <c r="M22" s="1">
        <f t="shared" si="2"/>
        <v>0.11</v>
      </c>
    </row>
    <row r="23" spans="1:14" x14ac:dyDescent="0.25">
      <c r="A23" t="s">
        <v>7</v>
      </c>
      <c r="B23">
        <f>0.86</f>
        <v>0.86</v>
      </c>
      <c r="C23" s="1">
        <f t="shared" si="3"/>
        <v>0.86</v>
      </c>
      <c r="D23" s="1">
        <f t="shared" si="2"/>
        <v>0.86</v>
      </c>
      <c r="E23" s="1">
        <f t="shared" si="2"/>
        <v>0.86</v>
      </c>
      <c r="F23" s="1">
        <f t="shared" si="2"/>
        <v>0.86</v>
      </c>
      <c r="G23" s="1">
        <f t="shared" si="2"/>
        <v>0.86</v>
      </c>
      <c r="H23" s="1">
        <f t="shared" si="2"/>
        <v>0.86</v>
      </c>
      <c r="I23" s="1">
        <f t="shared" si="2"/>
        <v>0.86</v>
      </c>
      <c r="J23" s="1">
        <f t="shared" si="2"/>
        <v>0.86</v>
      </c>
      <c r="K23" s="1">
        <f t="shared" si="2"/>
        <v>0.86</v>
      </c>
      <c r="L23" s="1">
        <f t="shared" si="2"/>
        <v>0.86</v>
      </c>
      <c r="M23" s="1">
        <f t="shared" si="2"/>
        <v>0.86</v>
      </c>
    </row>
    <row r="24" spans="1:14" x14ac:dyDescent="0.25">
      <c r="A24" t="s">
        <v>8</v>
      </c>
      <c r="B24">
        <f>0.8</f>
        <v>0.8</v>
      </c>
      <c r="C24" s="1">
        <f t="shared" si="3"/>
        <v>0.8</v>
      </c>
      <c r="D24" s="1">
        <f t="shared" si="2"/>
        <v>0.8</v>
      </c>
      <c r="E24" s="1">
        <f t="shared" si="2"/>
        <v>0.8</v>
      </c>
      <c r="F24" s="1">
        <f t="shared" si="2"/>
        <v>0.8</v>
      </c>
      <c r="G24" s="1">
        <f t="shared" si="2"/>
        <v>0.8</v>
      </c>
      <c r="H24" s="1">
        <f t="shared" si="2"/>
        <v>0.8</v>
      </c>
      <c r="I24" s="1">
        <f t="shared" si="2"/>
        <v>0.8</v>
      </c>
      <c r="J24" s="1">
        <f t="shared" si="2"/>
        <v>0.8</v>
      </c>
      <c r="K24" s="1">
        <f t="shared" si="2"/>
        <v>0.8</v>
      </c>
      <c r="L24" s="1">
        <f t="shared" si="2"/>
        <v>0.8</v>
      </c>
      <c r="M24" s="1">
        <f t="shared" si="2"/>
        <v>0.8</v>
      </c>
    </row>
    <row r="25" spans="1:14" x14ac:dyDescent="0.25">
      <c r="A25" t="s">
        <v>9</v>
      </c>
      <c r="B25">
        <v>0.4</v>
      </c>
      <c r="C25" s="1">
        <f t="shared" si="3"/>
        <v>0.4</v>
      </c>
      <c r="D25" s="1">
        <f t="shared" si="2"/>
        <v>0.4</v>
      </c>
      <c r="E25" s="1">
        <f t="shared" si="2"/>
        <v>0.4</v>
      </c>
      <c r="F25" s="1">
        <f t="shared" si="2"/>
        <v>0.4</v>
      </c>
      <c r="G25" s="1">
        <f t="shared" si="2"/>
        <v>0.4</v>
      </c>
      <c r="H25" s="1">
        <f t="shared" si="2"/>
        <v>0.4</v>
      </c>
      <c r="I25" s="1">
        <f t="shared" si="2"/>
        <v>0.4</v>
      </c>
      <c r="J25" s="1">
        <f t="shared" si="2"/>
        <v>0.4</v>
      </c>
      <c r="K25" s="1">
        <f t="shared" si="2"/>
        <v>0.4</v>
      </c>
      <c r="L25" s="1">
        <f t="shared" si="2"/>
        <v>0.4</v>
      </c>
      <c r="M25" s="1">
        <f t="shared" si="2"/>
        <v>0.4</v>
      </c>
    </row>
    <row r="26" spans="1:14" x14ac:dyDescent="0.25">
      <c r="A26" t="s">
        <v>10</v>
      </c>
      <c r="B26">
        <f>0.88</f>
        <v>0.88</v>
      </c>
      <c r="C26" s="1">
        <f t="shared" si="3"/>
        <v>0.88</v>
      </c>
      <c r="D26" s="1">
        <f t="shared" si="2"/>
        <v>0.88</v>
      </c>
      <c r="E26" s="1">
        <f t="shared" si="2"/>
        <v>0.88</v>
      </c>
      <c r="F26" s="1">
        <f t="shared" si="2"/>
        <v>0.88</v>
      </c>
      <c r="G26" s="1">
        <f t="shared" si="2"/>
        <v>0.88</v>
      </c>
      <c r="H26" s="1">
        <f t="shared" si="2"/>
        <v>0.88</v>
      </c>
      <c r="I26" s="1">
        <f t="shared" si="2"/>
        <v>0.88</v>
      </c>
      <c r="J26" s="1">
        <f t="shared" si="2"/>
        <v>0.88</v>
      </c>
      <c r="K26" s="1">
        <f t="shared" si="2"/>
        <v>0.88</v>
      </c>
      <c r="L26" s="1">
        <f t="shared" si="2"/>
        <v>0.88</v>
      </c>
      <c r="M26" s="1">
        <f t="shared" si="2"/>
        <v>0.88</v>
      </c>
    </row>
    <row r="27" spans="1:14" x14ac:dyDescent="0.25">
      <c r="A27" s="35" t="s">
        <v>14</v>
      </c>
      <c r="B27" s="35"/>
      <c r="N27" s="5" t="s">
        <v>18</v>
      </c>
    </row>
    <row r="28" spans="1:14" x14ac:dyDescent="0.25">
      <c r="A28" t="s">
        <v>5</v>
      </c>
      <c r="B28" t="s">
        <v>17</v>
      </c>
      <c r="C28" s="4">
        <f>(C4*C7*C14)/Resumen!$B2</f>
        <v>1214.4540437639116</v>
      </c>
      <c r="D28" s="4">
        <f>(D4*D7*D14)/Resumen!$B2</f>
        <v>1083.8940755702254</v>
      </c>
      <c r="E28" s="4">
        <f>(E4*E7*E14)/Resumen!$B2</f>
        <v>891.30132660526795</v>
      </c>
      <c r="F28" s="4">
        <f>(F4*F7*F14)/Resumen!$B2</f>
        <v>913.69583229886769</v>
      </c>
      <c r="G28" s="4">
        <f>(G4*G7*G14)/Resumen!$B2</f>
        <v>1037.2127284519167</v>
      </c>
      <c r="H28" s="4">
        <f>(H4*H7*H14)/Resumen!$B2</f>
        <v>1074.9362732927855</v>
      </c>
      <c r="I28" s="4">
        <f>(I4*I7*I14)/Resumen!$B2</f>
        <v>809.0463071926763</v>
      </c>
      <c r="J28" s="4">
        <f>(J4*J7*J14)/Resumen!$B2</f>
        <v>551.04480572313753</v>
      </c>
      <c r="K28" s="4">
        <f>(K4*K7*K14)/Resumen!$B2</f>
        <v>473.58780915539961</v>
      </c>
      <c r="L28" s="4">
        <f>(L4*L7*L14)/Resumen!$B2</f>
        <v>53.769208170332874</v>
      </c>
      <c r="M28" s="4">
        <f>(M4*M7*M14)/Resumen!$B2</f>
        <v>193.69007974394378</v>
      </c>
      <c r="N28" s="4">
        <f>SUM(C28:M28)</f>
        <v>8296.6324899684641</v>
      </c>
    </row>
    <row r="29" spans="1:14" x14ac:dyDescent="0.25">
      <c r="A29" t="s">
        <v>6</v>
      </c>
      <c r="B29" t="s">
        <v>2</v>
      </c>
      <c r="C29" s="4">
        <f>C4*C8*C15</f>
        <v>33.686400000000006</v>
      </c>
      <c r="D29" s="4">
        <f t="shared" ref="D29:M29" si="4">D4*D8*D15</f>
        <v>57.6</v>
      </c>
      <c r="E29" s="4">
        <f t="shared" si="4"/>
        <v>60.800000000000004</v>
      </c>
      <c r="F29" s="4">
        <f t="shared" si="4"/>
        <v>55.68</v>
      </c>
      <c r="G29" s="4">
        <f t="shared" si="4"/>
        <v>34.6464</v>
      </c>
      <c r="H29" s="4">
        <f t="shared" si="4"/>
        <v>37.76</v>
      </c>
      <c r="I29" s="4">
        <f t="shared" si="4"/>
        <v>23.502400000000002</v>
      </c>
      <c r="J29" s="4">
        <f t="shared" si="4"/>
        <v>16.12</v>
      </c>
      <c r="K29" s="4">
        <f t="shared" si="4"/>
        <v>11.073599999999999</v>
      </c>
      <c r="L29" s="4">
        <f t="shared" si="4"/>
        <v>1.0192000000000001</v>
      </c>
      <c r="M29" s="4">
        <f t="shared" si="4"/>
        <v>2.0832000000000002</v>
      </c>
      <c r="N29" s="4">
        <f>SUM(C29:M29)</f>
        <v>333.97120000000007</v>
      </c>
    </row>
    <row r="30" spans="1:14" x14ac:dyDescent="0.25">
      <c r="A30" t="s">
        <v>7</v>
      </c>
      <c r="B30" t="s">
        <v>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t="s">
        <v>8</v>
      </c>
      <c r="B31" t="s">
        <v>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t="s">
        <v>9</v>
      </c>
      <c r="B32" t="s">
        <v>17</v>
      </c>
      <c r="C32" s="4">
        <f>(C4*C11*C18)/Resumen!$B2</f>
        <v>13.779687712249348</v>
      </c>
      <c r="D32" s="4">
        <f>(D4*D11*D18)/Resumen!$B2</f>
        <v>15.427326144479792</v>
      </c>
      <c r="E32" s="4">
        <f>(E4*E11*E18)/Resumen!$B2</f>
        <v>12.958953961363026</v>
      </c>
      <c r="F32" s="4">
        <f>(F4*F11*F18)/Resumen!$B2</f>
        <v>14.193140052921407</v>
      </c>
      <c r="G32" s="4">
        <f>(G4*G11*G18)/Resumen!$B2</f>
        <v>14.228622903053711</v>
      </c>
      <c r="H32" s="4">
        <f>(H4*H11*H18)/Resumen!$B2</f>
        <v>13.57604700714222</v>
      </c>
      <c r="I32" s="4">
        <f>(I4*I11*I18)/Resumen!$B2</f>
        <v>9.7994375669735643</v>
      </c>
      <c r="J32" s="4">
        <f>(J4*J11*J18)/Resumen!$B2</f>
        <v>5.9780888809859194</v>
      </c>
      <c r="K32" s="4">
        <f>(K4*K11*K18)/Resumen!$B2</f>
        <v>4.1522648317867352</v>
      </c>
      <c r="L32" s="4">
        <f>(L4*L11*L18)/Resumen!$B2</f>
        <v>0.4535633886477059</v>
      </c>
      <c r="M32" s="4">
        <f>(M4*M11*M18)/Resumen!$B2</f>
        <v>1.2912671982929587</v>
      </c>
      <c r="N32" s="4">
        <f>SUM(C32:M32)</f>
        <v>105.83839964789641</v>
      </c>
    </row>
    <row r="33" spans="1:14" x14ac:dyDescent="0.25">
      <c r="A33" t="s">
        <v>10</v>
      </c>
      <c r="B33" t="s">
        <v>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35" t="s">
        <v>15</v>
      </c>
      <c r="B34" s="3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 t="s">
        <v>18</v>
      </c>
    </row>
    <row r="35" spans="1:14" x14ac:dyDescent="0.25">
      <c r="A35" t="s">
        <v>5</v>
      </c>
      <c r="B35" t="s">
        <v>17</v>
      </c>
      <c r="C35" s="4">
        <f>(C4*C7*C21)/Resumen!$B2</f>
        <v>4790.3465059576511</v>
      </c>
      <c r="D35" s="4">
        <f>(D4*D7*D21)/Resumen!$B2</f>
        <v>4275.3599647492229</v>
      </c>
      <c r="E35" s="4">
        <f>(E4*E7*E21)/Resumen!$B2</f>
        <v>3515.6885660541125</v>
      </c>
      <c r="F35" s="4">
        <f>(F4*F7*F21)/Resumen!$B2</f>
        <v>3604.0224496233113</v>
      </c>
      <c r="G35" s="4">
        <f>(G4*G7*G21)/Resumen!$B2</f>
        <v>4091.2279844492273</v>
      </c>
      <c r="H35" s="4">
        <f>(H4*H7*H21)/Resumen!$B2</f>
        <v>4240.0264113215426</v>
      </c>
      <c r="I35" s="4">
        <f>(I4*I7*I21)/Resumen!$B2</f>
        <v>3191.2382117044453</v>
      </c>
      <c r="J35" s="4">
        <f>(J4*J7*J21)/Resumen!$B2</f>
        <v>2173.5656225745984</v>
      </c>
      <c r="K35" s="4">
        <f>(K4*K7*K21)/Resumen!$B2</f>
        <v>1868.0408027796316</v>
      </c>
      <c r="L35" s="4">
        <f>(L4*L7*L21)/Resumen!$B2</f>
        <v>212.08965444964633</v>
      </c>
      <c r="M35" s="4">
        <f>(M4*M7*M21)/Resumen!$B2</f>
        <v>763.99975899000049</v>
      </c>
      <c r="N35" s="4">
        <f>SUM(C35:M35)</f>
        <v>32725.605932653394</v>
      </c>
    </row>
    <row r="36" spans="1:14" x14ac:dyDescent="0.25">
      <c r="A36" t="s">
        <v>6</v>
      </c>
      <c r="B36" t="s">
        <v>2</v>
      </c>
      <c r="C36" s="4">
        <f>C4*C8*C22</f>
        <v>4.6318800000000007</v>
      </c>
      <c r="D36" s="4">
        <f t="shared" ref="D36:M36" si="5">D4*D8*D22</f>
        <v>7.92</v>
      </c>
      <c r="E36" s="4">
        <f t="shared" si="5"/>
        <v>8.36</v>
      </c>
      <c r="F36" s="4">
        <f t="shared" si="5"/>
        <v>7.6559999999999997</v>
      </c>
      <c r="G36" s="4">
        <f t="shared" si="5"/>
        <v>4.7638800000000003</v>
      </c>
      <c r="H36" s="4">
        <f t="shared" si="5"/>
        <v>5.1919999999999993</v>
      </c>
      <c r="I36" s="4">
        <f t="shared" si="5"/>
        <v>3.2315800000000001</v>
      </c>
      <c r="J36" s="4">
        <f t="shared" si="5"/>
        <v>2.2164999999999999</v>
      </c>
      <c r="K36" s="4">
        <f t="shared" si="5"/>
        <v>1.5226199999999999</v>
      </c>
      <c r="L36" s="4">
        <f t="shared" si="5"/>
        <v>0.14014000000000001</v>
      </c>
      <c r="M36" s="4">
        <f t="shared" si="5"/>
        <v>0.28644000000000003</v>
      </c>
      <c r="N36" s="4">
        <f t="shared" ref="N36:N40" si="6">SUM(C36:M36)</f>
        <v>45.921040000000005</v>
      </c>
    </row>
    <row r="37" spans="1:14" x14ac:dyDescent="0.25">
      <c r="A37" t="s">
        <v>7</v>
      </c>
      <c r="B37" t="s">
        <v>2</v>
      </c>
      <c r="C37" s="4">
        <f>C4*C9*C23</f>
        <v>24.141919999999999</v>
      </c>
      <c r="D37" s="4">
        <f t="shared" ref="D37:M37" si="7">D4*D9*D23</f>
        <v>37.152000000000001</v>
      </c>
      <c r="E37" s="4">
        <f t="shared" si="7"/>
        <v>39.216000000000001</v>
      </c>
      <c r="F37" s="4">
        <f t="shared" si="7"/>
        <v>34.4</v>
      </c>
      <c r="G37" s="4">
        <f t="shared" si="7"/>
        <v>22.760760000000001</v>
      </c>
      <c r="H37" s="4">
        <f t="shared" si="7"/>
        <v>25.456</v>
      </c>
      <c r="I37" s="4">
        <f t="shared" si="7"/>
        <v>17.753839999999997</v>
      </c>
      <c r="J37" s="4">
        <f t="shared" si="7"/>
        <v>12.663499999999999</v>
      </c>
      <c r="K37" s="4">
        <f t="shared" si="7"/>
        <v>8.5974199999999996</v>
      </c>
      <c r="L37" s="4">
        <f t="shared" si="7"/>
        <v>0.84279999999999999</v>
      </c>
      <c r="M37" s="4">
        <f t="shared" si="7"/>
        <v>2.5593599999999999</v>
      </c>
      <c r="N37" s="4">
        <f t="shared" si="6"/>
        <v>225.5436</v>
      </c>
    </row>
    <row r="38" spans="1:14" x14ac:dyDescent="0.25">
      <c r="A38" t="s">
        <v>8</v>
      </c>
      <c r="B38" t="s">
        <v>2</v>
      </c>
      <c r="C38" s="4">
        <f>C4*C10*C24</f>
        <v>3.5728000000000004</v>
      </c>
      <c r="D38" s="4">
        <f t="shared" ref="D38:M38" si="8">D4*D10*D24</f>
        <v>6.4</v>
      </c>
      <c r="E38" s="4">
        <f t="shared" si="8"/>
        <v>7.0399999999999991</v>
      </c>
      <c r="F38" s="4">
        <f t="shared" si="8"/>
        <v>5.76</v>
      </c>
      <c r="G38" s="4">
        <f t="shared" si="8"/>
        <v>3.8496000000000006</v>
      </c>
      <c r="H38" s="4">
        <f t="shared" si="8"/>
        <v>3.2</v>
      </c>
      <c r="I38" s="4">
        <f t="shared" si="8"/>
        <v>2.5408000000000004</v>
      </c>
      <c r="J38" s="4">
        <f t="shared" si="8"/>
        <v>1.8600000000000003</v>
      </c>
      <c r="K38" s="4">
        <f t="shared" si="8"/>
        <v>1.8456000000000001</v>
      </c>
      <c r="L38" s="4">
        <f t="shared" si="8"/>
        <v>0.23519999999999999</v>
      </c>
      <c r="M38" s="4">
        <f t="shared" si="8"/>
        <v>0.59520000000000006</v>
      </c>
      <c r="N38" s="4">
        <f t="shared" si="6"/>
        <v>36.899199999999993</v>
      </c>
    </row>
    <row r="39" spans="1:14" x14ac:dyDescent="0.25">
      <c r="A39" t="s">
        <v>9</v>
      </c>
      <c r="B39" t="s">
        <v>17</v>
      </c>
      <c r="C39" s="4">
        <f>(C4*C11*C25)/Resumen!$B2</f>
        <v>22.2253027616925</v>
      </c>
      <c r="D39" s="4">
        <f>(D4*D11*D25)/Resumen!$B2</f>
        <v>24.882784103999665</v>
      </c>
      <c r="E39" s="4">
        <f>(E4*E11*E25)/Resumen!$B2</f>
        <v>20.901538647359718</v>
      </c>
      <c r="F39" s="4">
        <f>(F4*F11*F25)/Resumen!$B2</f>
        <v>22.892161375679692</v>
      </c>
      <c r="G39" s="4">
        <f>(G4*G11*G25)/Resumen!$B2</f>
        <v>22.949391779118891</v>
      </c>
      <c r="H39" s="4">
        <f>(H4*H11*H25)/Resumen!$B2</f>
        <v>21.89685001151971</v>
      </c>
      <c r="I39" s="4">
        <f>(I4*I11*I25)/Resumen!$B2</f>
        <v>15.80554446286059</v>
      </c>
      <c r="J39" s="4">
        <f>(J4*J11*J25)/Resumen!$B2</f>
        <v>9.6420788402998703</v>
      </c>
      <c r="K39" s="4">
        <f>(K4*K11*K25)/Resumen!$B2</f>
        <v>6.6972013415915095</v>
      </c>
      <c r="L39" s="4">
        <f>(L4*L11*L25)/Resumen!$B2</f>
        <v>0.7315538526575901</v>
      </c>
      <c r="M39" s="4">
        <f>(M4*M11*M25)/Resumen!$B2</f>
        <v>2.0826890295047722</v>
      </c>
      <c r="N39" s="4">
        <f t="shared" si="6"/>
        <v>170.70709620628449</v>
      </c>
    </row>
    <row r="40" spans="1:14" x14ac:dyDescent="0.25">
      <c r="A40" t="s">
        <v>10</v>
      </c>
      <c r="B40" t="s">
        <v>2</v>
      </c>
      <c r="C40" s="4">
        <f>C4*C12*C26</f>
        <v>1.1228800000000001</v>
      </c>
      <c r="D40" s="4">
        <f t="shared" ref="D40:M40" si="9">D4*D12*D26</f>
        <v>2.1120000000000001</v>
      </c>
      <c r="E40" s="4">
        <f t="shared" si="9"/>
        <v>2.1120000000000001</v>
      </c>
      <c r="F40" s="4">
        <f t="shared" si="9"/>
        <v>2.1120000000000001</v>
      </c>
      <c r="G40" s="4">
        <f t="shared" si="9"/>
        <v>1.4115200000000001</v>
      </c>
      <c r="H40" s="4">
        <f t="shared" si="9"/>
        <v>1.4080000000000001</v>
      </c>
      <c r="I40" s="4">
        <f t="shared" si="9"/>
        <v>1.39744</v>
      </c>
      <c r="J40" s="4">
        <f t="shared" si="9"/>
        <v>1.3640000000000001</v>
      </c>
      <c r="K40" s="4">
        <f t="shared" si="9"/>
        <v>1.35344</v>
      </c>
      <c r="L40" s="4">
        <f t="shared" si="9"/>
        <v>0.17247999999999999</v>
      </c>
      <c r="M40" s="4">
        <f t="shared" si="9"/>
        <v>0.49104000000000003</v>
      </c>
      <c r="N40" s="4">
        <f t="shared" si="6"/>
        <v>15.056800000000001</v>
      </c>
    </row>
    <row r="41" spans="1:14" x14ac:dyDescent="0.25">
      <c r="A41" s="35" t="s">
        <v>19</v>
      </c>
      <c r="B41" s="35"/>
    </row>
    <row r="42" spans="1:14" x14ac:dyDescent="0.25">
      <c r="A42" t="s">
        <v>5</v>
      </c>
      <c r="B42" s="2">
        <v>0.7</v>
      </c>
      <c r="C42" s="4">
        <f t="shared" ref="C42:M42" si="10">C28*$B42</f>
        <v>850.11783063473808</v>
      </c>
      <c r="D42" s="4">
        <f t="shared" si="10"/>
        <v>758.72585289915776</v>
      </c>
      <c r="E42" s="4">
        <f t="shared" si="10"/>
        <v>623.91092862368748</v>
      </c>
      <c r="F42" s="4">
        <f t="shared" si="10"/>
        <v>639.5870826092073</v>
      </c>
      <c r="G42" s="4">
        <f t="shared" si="10"/>
        <v>726.0489099163417</v>
      </c>
      <c r="H42" s="4">
        <f t="shared" si="10"/>
        <v>752.45539130494979</v>
      </c>
      <c r="I42" s="4">
        <f t="shared" si="10"/>
        <v>566.33241503487341</v>
      </c>
      <c r="J42" s="4">
        <f t="shared" si="10"/>
        <v>385.73136400619626</v>
      </c>
      <c r="K42" s="4">
        <f t="shared" si="10"/>
        <v>331.51146640877971</v>
      </c>
      <c r="L42" s="4">
        <f t="shared" si="10"/>
        <v>37.638445719233012</v>
      </c>
      <c r="M42" s="4">
        <f t="shared" si="10"/>
        <v>135.58305582076065</v>
      </c>
      <c r="N42" s="4">
        <f>N28*$B42</f>
        <v>5807.6427429779242</v>
      </c>
    </row>
    <row r="43" spans="1:14" x14ac:dyDescent="0.25">
      <c r="A43" t="s">
        <v>6</v>
      </c>
      <c r="B43" s="2">
        <v>0.85</v>
      </c>
      <c r="C43" s="4">
        <f t="shared" ref="C43:M43" si="11">C29*$B43</f>
        <v>28.633440000000004</v>
      </c>
      <c r="D43" s="4">
        <f t="shared" si="11"/>
        <v>48.96</v>
      </c>
      <c r="E43" s="4">
        <f t="shared" si="11"/>
        <v>51.68</v>
      </c>
      <c r="F43" s="4">
        <f t="shared" si="11"/>
        <v>47.327999999999996</v>
      </c>
      <c r="G43" s="4">
        <f t="shared" si="11"/>
        <v>29.449439999999999</v>
      </c>
      <c r="H43" s="4">
        <f t="shared" si="11"/>
        <v>32.095999999999997</v>
      </c>
      <c r="I43" s="4">
        <f t="shared" si="11"/>
        <v>19.977040000000002</v>
      </c>
      <c r="J43" s="4">
        <f t="shared" si="11"/>
        <v>13.702</v>
      </c>
      <c r="K43" s="4">
        <f t="shared" si="11"/>
        <v>9.4125599999999991</v>
      </c>
      <c r="L43" s="4">
        <f t="shared" si="11"/>
        <v>0.86632000000000009</v>
      </c>
      <c r="M43" s="4">
        <f t="shared" si="11"/>
        <v>1.7707200000000001</v>
      </c>
      <c r="N43" s="4">
        <f>N29*$B43</f>
        <v>283.87552000000005</v>
      </c>
    </row>
    <row r="44" spans="1:14" x14ac:dyDescent="0.25">
      <c r="A44" t="s">
        <v>7</v>
      </c>
    </row>
    <row r="45" spans="1:14" x14ac:dyDescent="0.25">
      <c r="A45" t="s">
        <v>8</v>
      </c>
    </row>
    <row r="46" spans="1:14" x14ac:dyDescent="0.25">
      <c r="A46" t="s">
        <v>9</v>
      </c>
      <c r="B46" s="2">
        <v>0.55000000000000004</v>
      </c>
      <c r="C46" s="4">
        <f t="shared" ref="C46:M46" si="12">C32*$B46</f>
        <v>7.578828241737142</v>
      </c>
      <c r="D46" s="4">
        <f t="shared" si="12"/>
        <v>8.4850293794638869</v>
      </c>
      <c r="E46" s="4">
        <f t="shared" si="12"/>
        <v>7.1274246787496649</v>
      </c>
      <c r="F46" s="4">
        <f t="shared" si="12"/>
        <v>7.8062270291067746</v>
      </c>
      <c r="G46" s="4">
        <f t="shared" si="12"/>
        <v>7.8257425966795422</v>
      </c>
      <c r="H46" s="4">
        <f t="shared" si="12"/>
        <v>7.4668258539282215</v>
      </c>
      <c r="I46" s="4">
        <f t="shared" si="12"/>
        <v>5.389690661835461</v>
      </c>
      <c r="J46" s="4">
        <f t="shared" si="12"/>
        <v>3.287948884542256</v>
      </c>
      <c r="K46" s="4">
        <f t="shared" si="12"/>
        <v>2.2837456574827044</v>
      </c>
      <c r="L46" s="4">
        <f t="shared" si="12"/>
        <v>0.24945986375623827</v>
      </c>
      <c r="M46" s="4">
        <f t="shared" si="12"/>
        <v>0.71019695906112734</v>
      </c>
      <c r="N46" s="4">
        <f>N32*$B46</f>
        <v>58.211119806343028</v>
      </c>
    </row>
    <row r="47" spans="1:14" x14ac:dyDescent="0.25">
      <c r="A47" t="s">
        <v>10</v>
      </c>
    </row>
    <row r="48" spans="1:14" x14ac:dyDescent="0.25">
      <c r="A48" s="35" t="s">
        <v>20</v>
      </c>
      <c r="B48" s="35"/>
      <c r="N48" t="s">
        <v>18</v>
      </c>
    </row>
    <row r="49" spans="1:14" x14ac:dyDescent="0.25">
      <c r="A49" t="s">
        <v>5</v>
      </c>
      <c r="B49" s="2">
        <v>0.95</v>
      </c>
      <c r="C49" s="4">
        <f t="shared" ref="C49:C54" si="13">$B49*C35</f>
        <v>4550.8291806597681</v>
      </c>
      <c r="D49" s="4">
        <f t="shared" ref="D49:M49" si="14">$B49*D35</f>
        <v>4061.5919665117617</v>
      </c>
      <c r="E49" s="4">
        <f t="shared" si="14"/>
        <v>3339.9041377514068</v>
      </c>
      <c r="F49" s="4">
        <f t="shared" si="14"/>
        <v>3423.8213271421455</v>
      </c>
      <c r="G49" s="4">
        <f t="shared" si="14"/>
        <v>3886.6665852267656</v>
      </c>
      <c r="H49" s="4">
        <f t="shared" si="14"/>
        <v>4028.025090755465</v>
      </c>
      <c r="I49" s="4">
        <f t="shared" si="14"/>
        <v>3031.6763011192229</v>
      </c>
      <c r="J49" s="4">
        <f t="shared" si="14"/>
        <v>2064.8873414458685</v>
      </c>
      <c r="K49" s="4">
        <f t="shared" si="14"/>
        <v>1774.6387626406499</v>
      </c>
      <c r="L49" s="4">
        <f t="shared" si="14"/>
        <v>201.48517172716402</v>
      </c>
      <c r="M49" s="4">
        <f t="shared" si="14"/>
        <v>725.79977104050045</v>
      </c>
      <c r="N49" s="4">
        <f>SUM(C49:M49)</f>
        <v>31089.325636020716</v>
      </c>
    </row>
    <row r="50" spans="1:14" x14ac:dyDescent="0.25">
      <c r="A50" t="s">
        <v>6</v>
      </c>
      <c r="B50" s="2">
        <v>0.59660000000000002</v>
      </c>
      <c r="C50" s="4">
        <f t="shared" si="13"/>
        <v>2.7633796080000006</v>
      </c>
      <c r="D50" s="4">
        <f t="shared" ref="D50:M50" si="15">$B50*D36</f>
        <v>4.7250719999999999</v>
      </c>
      <c r="E50" s="4">
        <f t="shared" si="15"/>
        <v>4.9875759999999998</v>
      </c>
      <c r="F50" s="4">
        <f t="shared" si="15"/>
        <v>4.5675695999999997</v>
      </c>
      <c r="G50" s="4">
        <f t="shared" si="15"/>
        <v>2.8421308080000003</v>
      </c>
      <c r="H50" s="4">
        <f t="shared" si="15"/>
        <v>3.0975471999999997</v>
      </c>
      <c r="I50" s="4">
        <f t="shared" si="15"/>
        <v>1.9279606280000001</v>
      </c>
      <c r="J50" s="4">
        <f t="shared" si="15"/>
        <v>1.3223639</v>
      </c>
      <c r="K50" s="4">
        <f t="shared" si="15"/>
        <v>0.9083950919999999</v>
      </c>
      <c r="L50" s="4">
        <f t="shared" si="15"/>
        <v>8.3607524000000016E-2</v>
      </c>
      <c r="M50" s="4">
        <f t="shared" si="15"/>
        <v>0.17089010400000001</v>
      </c>
      <c r="N50" s="4">
        <f t="shared" ref="N50:N54" si="16">SUM(C50:M50)</f>
        <v>27.396492464000001</v>
      </c>
    </row>
    <row r="51" spans="1:14" x14ac:dyDescent="0.25">
      <c r="A51" t="s">
        <v>7</v>
      </c>
      <c r="B51" s="2">
        <v>0.93189999999999995</v>
      </c>
      <c r="C51" s="4">
        <f t="shared" si="13"/>
        <v>22.497855247999997</v>
      </c>
      <c r="D51" s="4">
        <f t="shared" ref="D51:M51" si="17">$B51*D37</f>
        <v>34.621948799999998</v>
      </c>
      <c r="E51" s="4">
        <f t="shared" si="17"/>
        <v>36.545390400000002</v>
      </c>
      <c r="F51" s="4">
        <f t="shared" si="17"/>
        <v>32.057359999999996</v>
      </c>
      <c r="G51" s="4">
        <f t="shared" si="17"/>
        <v>21.210752243999998</v>
      </c>
      <c r="H51" s="4">
        <f t="shared" si="17"/>
        <v>23.722446399999999</v>
      </c>
      <c r="I51" s="4">
        <f t="shared" si="17"/>
        <v>16.544803495999997</v>
      </c>
      <c r="J51" s="4">
        <f t="shared" si="17"/>
        <v>11.801115649999998</v>
      </c>
      <c r="K51" s="4">
        <f t="shared" si="17"/>
        <v>8.0119356979999985</v>
      </c>
      <c r="L51" s="4">
        <f t="shared" si="17"/>
        <v>0.78540531999999996</v>
      </c>
      <c r="M51" s="4">
        <f t="shared" si="17"/>
        <v>2.3850675839999997</v>
      </c>
      <c r="N51" s="4">
        <f t="shared" si="16"/>
        <v>210.18408083999995</v>
      </c>
    </row>
    <row r="52" spans="1:14" x14ac:dyDescent="0.25">
      <c r="A52" t="s">
        <v>8</v>
      </c>
      <c r="B52" s="2">
        <v>1</v>
      </c>
      <c r="C52" s="4">
        <f t="shared" si="13"/>
        <v>3.5728000000000004</v>
      </c>
      <c r="D52" s="4">
        <f t="shared" ref="D52:M52" si="18">$B52*D38</f>
        <v>6.4</v>
      </c>
      <c r="E52" s="4">
        <f t="shared" si="18"/>
        <v>7.0399999999999991</v>
      </c>
      <c r="F52" s="4">
        <f t="shared" si="18"/>
        <v>5.76</v>
      </c>
      <c r="G52" s="4">
        <f t="shared" si="18"/>
        <v>3.8496000000000006</v>
      </c>
      <c r="H52" s="4">
        <f t="shared" si="18"/>
        <v>3.2</v>
      </c>
      <c r="I52" s="4">
        <f t="shared" si="18"/>
        <v>2.5408000000000004</v>
      </c>
      <c r="J52" s="4">
        <f t="shared" si="18"/>
        <v>1.8600000000000003</v>
      </c>
      <c r="K52" s="4">
        <f t="shared" si="18"/>
        <v>1.8456000000000001</v>
      </c>
      <c r="L52" s="4">
        <f t="shared" si="18"/>
        <v>0.23519999999999999</v>
      </c>
      <c r="M52" s="4">
        <f t="shared" si="18"/>
        <v>0.59520000000000006</v>
      </c>
      <c r="N52" s="4">
        <f t="shared" si="16"/>
        <v>36.899199999999993</v>
      </c>
    </row>
    <row r="53" spans="1:14" x14ac:dyDescent="0.25">
      <c r="A53" t="s">
        <v>9</v>
      </c>
      <c r="B53" s="2">
        <v>0.90849999999999997</v>
      </c>
      <c r="C53" s="4">
        <f t="shared" si="13"/>
        <v>20.191687558997636</v>
      </c>
      <c r="D53" s="4">
        <f t="shared" ref="D53:M53" si="19">$B53*D39</f>
        <v>22.606009358483696</v>
      </c>
      <c r="E53" s="4">
        <f t="shared" si="19"/>
        <v>18.989047861126302</v>
      </c>
      <c r="F53" s="4">
        <f t="shared" si="19"/>
        <v>20.797528609804999</v>
      </c>
      <c r="G53" s="4">
        <f t="shared" si="19"/>
        <v>20.849522431329511</v>
      </c>
      <c r="H53" s="4">
        <f t="shared" si="19"/>
        <v>19.893288235465658</v>
      </c>
      <c r="I53" s="4">
        <f t="shared" si="19"/>
        <v>14.359337144508846</v>
      </c>
      <c r="J53" s="4">
        <f t="shared" si="19"/>
        <v>8.7598286264124319</v>
      </c>
      <c r="K53" s="4">
        <f t="shared" si="19"/>
        <v>6.0844074188358865</v>
      </c>
      <c r="L53" s="4">
        <f t="shared" si="19"/>
        <v>0.66461667513942058</v>
      </c>
      <c r="M53" s="4">
        <f t="shared" si="19"/>
        <v>1.8921229833050854</v>
      </c>
      <c r="N53" s="4">
        <f t="shared" si="16"/>
        <v>155.08739690340951</v>
      </c>
    </row>
    <row r="54" spans="1:14" x14ac:dyDescent="0.25">
      <c r="A54" t="s">
        <v>10</v>
      </c>
      <c r="B54" s="2">
        <v>0.89859999999999995</v>
      </c>
      <c r="C54" s="4">
        <f t="shared" si="13"/>
        <v>1.009019968</v>
      </c>
      <c r="D54" s="4">
        <f t="shared" ref="D54:M54" si="20">$B54*D40</f>
        <v>1.8978432000000001</v>
      </c>
      <c r="E54" s="4">
        <f t="shared" si="20"/>
        <v>1.8978432000000001</v>
      </c>
      <c r="F54" s="4">
        <f t="shared" si="20"/>
        <v>1.8978432000000001</v>
      </c>
      <c r="G54" s="4">
        <f t="shared" si="20"/>
        <v>1.268391872</v>
      </c>
      <c r="H54" s="4">
        <f t="shared" si="20"/>
        <v>1.2652288</v>
      </c>
      <c r="I54" s="4">
        <f t="shared" si="20"/>
        <v>1.2557395839999999</v>
      </c>
      <c r="J54" s="4">
        <f t="shared" si="20"/>
        <v>1.2256904</v>
      </c>
      <c r="K54" s="4">
        <f t="shared" si="20"/>
        <v>1.216201184</v>
      </c>
      <c r="L54" s="4">
        <f t="shared" si="20"/>
        <v>0.15499052799999999</v>
      </c>
      <c r="M54" s="4">
        <f t="shared" si="20"/>
        <v>0.44124854400000002</v>
      </c>
      <c r="N54" s="4">
        <f t="shared" si="16"/>
        <v>13.530040480000002</v>
      </c>
    </row>
    <row r="55" spans="1:14" x14ac:dyDescent="0.25"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51"/>
      <c r="B56" s="51"/>
    </row>
    <row r="57" spans="1:14" x14ac:dyDescent="0.25">
      <c r="A57" s="8" t="s">
        <v>5</v>
      </c>
      <c r="B57" t="s">
        <v>24</v>
      </c>
      <c r="C57" s="4">
        <f>(C42+C49)*Resumen!$B$5</f>
        <v>135023.67528236267</v>
      </c>
      <c r="D57" s="4">
        <f>(D42+D49)*Resumen!$B$5</f>
        <v>120507.94548527298</v>
      </c>
      <c r="E57" s="4">
        <f>(E42+E49)*Resumen!$B$5</f>
        <v>99095.376659377362</v>
      </c>
      <c r="F57" s="4">
        <f>(F42+F49)*Resumen!$B$5</f>
        <v>101585.21024378382</v>
      </c>
      <c r="G57" s="4">
        <f>(G42+G49)*Resumen!$B$5</f>
        <v>115317.8873785777</v>
      </c>
      <c r="H57" s="4">
        <f>(H42+H49)*Resumen!$B$5</f>
        <v>119512.01205151038</v>
      </c>
      <c r="I57" s="4">
        <f>(I42+I49)*Resumen!$B$5</f>
        <v>89950.217903852405</v>
      </c>
      <c r="J57" s="4">
        <f>(J42+J49)*Resumen!$B$5</f>
        <v>61265.467636301619</v>
      </c>
      <c r="K57" s="4">
        <f>(K42+K49)*Resumen!$B$5</f>
        <v>52653.755726235737</v>
      </c>
      <c r="L57" s="4">
        <f>(L42+L49)*Resumen!$B$5</f>
        <v>5978.090436159926</v>
      </c>
      <c r="M57" s="4">
        <f>(M42+M49)*Resumen!$B$5</f>
        <v>21534.570671531525</v>
      </c>
    </row>
    <row r="58" spans="1:14" x14ac:dyDescent="0.25">
      <c r="A58" s="8" t="s">
        <v>6</v>
      </c>
      <c r="B58" t="s">
        <v>24</v>
      </c>
      <c r="C58" s="4">
        <f>(C43+C50)*Resumen!$B$6</f>
        <v>94190.458824000016</v>
      </c>
      <c r="D58" s="4">
        <f>(D43+D50)*Resumen!$B$6</f>
        <v>161055.21599999999</v>
      </c>
      <c r="E58" s="4">
        <f>(E43+E50)*Resumen!$B$6</f>
        <v>170002.728</v>
      </c>
      <c r="F58" s="4">
        <f>(F43+F50)*Resumen!$B$6</f>
        <v>155686.70879999999</v>
      </c>
      <c r="G58" s="4">
        <f>(G43+G50)*Resumen!$B$6</f>
        <v>96874.712424000012</v>
      </c>
      <c r="H58" s="4">
        <f>(H43+H50)*Resumen!$B$6</f>
        <v>105580.64159999999</v>
      </c>
      <c r="I58" s="4">
        <f>(I43+I50)*Resumen!$B$6</f>
        <v>65715.001884000012</v>
      </c>
      <c r="J58" s="4">
        <f>(J43+J50)*Resumen!$B$6</f>
        <v>45073.091700000004</v>
      </c>
      <c r="K58" s="4">
        <f>(K43+K50)*Resumen!$B$6</f>
        <v>30962.865275999997</v>
      </c>
      <c r="L58" s="4">
        <f>(L43+L50)*Resumen!$B$6</f>
        <v>2849.7825720000005</v>
      </c>
      <c r="M58" s="4">
        <f>(M43+M50)*Resumen!$B$6</f>
        <v>5824.830312</v>
      </c>
    </row>
    <row r="59" spans="1:14" x14ac:dyDescent="0.25">
      <c r="A59" s="8" t="s">
        <v>7</v>
      </c>
      <c r="B59" t="s">
        <v>24</v>
      </c>
      <c r="C59" s="4">
        <f>(C51)*Resumen!$B$7</f>
        <v>51745.067070399993</v>
      </c>
      <c r="D59" s="4">
        <f>(D51)*Resumen!$B$7</f>
        <v>79630.482239999998</v>
      </c>
      <c r="E59" s="4">
        <f>(E51)*Resumen!$B$7</f>
        <v>84054.397920000003</v>
      </c>
      <c r="F59" s="4">
        <f>(F51)*Resumen!$B$7</f>
        <v>73731.927999999985</v>
      </c>
      <c r="G59" s="4">
        <f>(G51)*Resumen!$B$7</f>
        <v>48784.730161199994</v>
      </c>
      <c r="H59" s="4">
        <f>(H51)*Resumen!$B$7</f>
        <v>54561.62672</v>
      </c>
      <c r="I59" s="4">
        <f>(I51)*Resumen!$B$7</f>
        <v>38053.048040799993</v>
      </c>
      <c r="J59" s="4">
        <f>(J51)*Resumen!$B$7</f>
        <v>27142.565994999997</v>
      </c>
      <c r="K59" s="4">
        <f>(K51)*Resumen!$B$7</f>
        <v>18427.452105399996</v>
      </c>
      <c r="L59" s="4">
        <f>(L51)*Resumen!$B$7</f>
        <v>1806.4322359999999</v>
      </c>
      <c r="M59" s="4">
        <f>(M51)*Resumen!$B$7</f>
        <v>5485.6554431999994</v>
      </c>
    </row>
    <row r="60" spans="1:14" x14ac:dyDescent="0.25">
      <c r="A60" s="8" t="s">
        <v>8</v>
      </c>
      <c r="B60" t="s">
        <v>24</v>
      </c>
      <c r="C60" s="4">
        <f>(C52)*Resumen!$B7</f>
        <v>8217.44</v>
      </c>
      <c r="D60" s="4">
        <f>(D52)*Resumen!$B7</f>
        <v>14720</v>
      </c>
      <c r="E60" s="4">
        <f>(E52)*Resumen!$B7</f>
        <v>16191.999999999998</v>
      </c>
      <c r="F60" s="4">
        <f>(F52)*Resumen!$B7</f>
        <v>13248</v>
      </c>
      <c r="G60" s="4">
        <f>(G52)*Resumen!$B7</f>
        <v>8854.0800000000017</v>
      </c>
      <c r="H60" s="4">
        <f>(H52)*Resumen!$B7</f>
        <v>7360</v>
      </c>
      <c r="I60" s="4">
        <f>(I52)*Resumen!$B7</f>
        <v>5843.8400000000011</v>
      </c>
      <c r="J60" s="4">
        <f>(J52)*Resumen!$B7</f>
        <v>4278.0000000000009</v>
      </c>
      <c r="K60" s="4">
        <f>(K52)*Resumen!$B7</f>
        <v>4244.88</v>
      </c>
      <c r="L60" s="4">
        <f>(L52)*Resumen!$B7</f>
        <v>540.96</v>
      </c>
      <c r="M60" s="4">
        <f>(M52)*Resumen!$B7</f>
        <v>1368.96</v>
      </c>
    </row>
    <row r="61" spans="1:14" x14ac:dyDescent="0.25">
      <c r="A61" s="8" t="s">
        <v>9</v>
      </c>
      <c r="B61" t="s">
        <v>24</v>
      </c>
      <c r="C61" s="4">
        <f>(C53+C46)*Resumen!$B$9</f>
        <v>49986.928441322598</v>
      </c>
      <c r="D61" s="4">
        <f>(D53+D46)*Resumen!$B$9</f>
        <v>55963.869728305654</v>
      </c>
      <c r="E61" s="4">
        <f>(E53+E46)*Resumen!$B$9</f>
        <v>47009.650571776743</v>
      </c>
      <c r="F61" s="4">
        <f>(F53+F46)*Resumen!$B$9</f>
        <v>51486.760150041191</v>
      </c>
      <c r="G61" s="4">
        <f>(G53+G46)*Resumen!$B$9</f>
        <v>51615.477050416295</v>
      </c>
      <c r="H61" s="4">
        <f>(H53+H46)*Resumen!$B$9</f>
        <v>49248.205360908978</v>
      </c>
      <c r="I61" s="4">
        <f>(I53+I46)*Resumen!$B$9</f>
        <v>35548.250051419753</v>
      </c>
      <c r="J61" s="4">
        <f>(J53+J46)*Resumen!$B$9</f>
        <v>21685.99951971844</v>
      </c>
      <c r="K61" s="4">
        <f>(K53+K46)*Resumen!$B$9</f>
        <v>15062.675537373465</v>
      </c>
      <c r="L61" s="4">
        <f>(L53+L46)*Resumen!$B$9</f>
        <v>1645.337770012186</v>
      </c>
      <c r="M61" s="4">
        <f>(M53+M46)*Resumen!$B$9</f>
        <v>4684.175896259183</v>
      </c>
    </row>
    <row r="62" spans="1:14" x14ac:dyDescent="0.25">
      <c r="A62" s="8" t="s">
        <v>10</v>
      </c>
      <c r="B62" t="s">
        <v>24</v>
      </c>
      <c r="C62" s="4">
        <f>(C54)*Resumen!$B$10</f>
        <v>2320.7459263999999</v>
      </c>
      <c r="D62" s="4">
        <f>(D54)*Resumen!$B$10</f>
        <v>4365.0393599999998</v>
      </c>
      <c r="E62" s="4">
        <f>(E54)*Resumen!$B$10</f>
        <v>4365.0393599999998</v>
      </c>
      <c r="F62" s="4">
        <f>(F54)*Resumen!$B$10</f>
        <v>4365.0393599999998</v>
      </c>
      <c r="G62" s="4">
        <f>(G54)*Resumen!$B$10</f>
        <v>2917.3013056</v>
      </c>
      <c r="H62" s="4">
        <f>(H54)*Resumen!$B$10</f>
        <v>2910.0262400000001</v>
      </c>
      <c r="I62" s="4">
        <f>(I54)*Resumen!$B$10</f>
        <v>2888.2010431999997</v>
      </c>
      <c r="J62" s="4">
        <f>(J54)*Resumen!$B$10</f>
        <v>2819.0879199999999</v>
      </c>
      <c r="K62" s="4">
        <f>(K54)*Resumen!$B$10</f>
        <v>2797.2627232</v>
      </c>
      <c r="L62" s="4">
        <f>(L54)*Resumen!$B$10</f>
        <v>356.47821439999996</v>
      </c>
      <c r="M62" s="4">
        <f>(M54)*Resumen!$B$10</f>
        <v>1014.8716512000001</v>
      </c>
    </row>
    <row r="63" spans="1:14" x14ac:dyDescent="0.25">
      <c r="A63" t="s">
        <v>41</v>
      </c>
      <c r="B63" t="s">
        <v>24</v>
      </c>
      <c r="C63" s="4">
        <f>SUM(C57:C62)</f>
        <v>341484.31554448529</v>
      </c>
      <c r="D63" s="4">
        <f>SUM(D57:D62)</f>
        <v>436242.55281357863</v>
      </c>
      <c r="E63" s="4">
        <f t="shared" ref="E63:M63" si="21">SUM(E57:E62)</f>
        <v>420719.19251115411</v>
      </c>
      <c r="F63" s="4">
        <f t="shared" si="21"/>
        <v>400103.64655382495</v>
      </c>
      <c r="G63" s="4">
        <f t="shared" si="21"/>
        <v>324364.18831979396</v>
      </c>
      <c r="H63" s="4">
        <f t="shared" si="21"/>
        <v>339172.51197241934</v>
      </c>
      <c r="I63" s="4">
        <f t="shared" si="21"/>
        <v>237998.55892327218</v>
      </c>
      <c r="J63" s="4">
        <f t="shared" si="21"/>
        <v>162264.21277102004</v>
      </c>
      <c r="K63" s="4">
        <f t="shared" si="21"/>
        <v>124148.8913682092</v>
      </c>
      <c r="L63" s="4">
        <f t="shared" si="21"/>
        <v>13177.081228572113</v>
      </c>
      <c r="M63" s="4">
        <f t="shared" si="21"/>
        <v>39913.063974190707</v>
      </c>
      <c r="N63" s="4">
        <f>SUM(C63:M63)</f>
        <v>2839588.2159805205</v>
      </c>
    </row>
    <row r="64" spans="1:14" x14ac:dyDescent="0.25">
      <c r="A64" s="8" t="s">
        <v>42</v>
      </c>
      <c r="B64" t="s">
        <v>24</v>
      </c>
      <c r="C64" s="4">
        <f>C$4*Resumen!$B17</f>
        <v>22776.600000000002</v>
      </c>
      <c r="D64" s="4">
        <f>D$4*Resumen!$B17</f>
        <v>28560.000000000004</v>
      </c>
      <c r="E64" s="4">
        <f>E$4*Resumen!$B17</f>
        <v>28560.000000000004</v>
      </c>
      <c r="F64" s="4">
        <f>F$4*Resumen!$B17</f>
        <v>28560.000000000004</v>
      </c>
      <c r="G64" s="4">
        <f>G$4*Resumen!$B17</f>
        <v>28631.4</v>
      </c>
      <c r="H64" s="4">
        <f>H$4*Resumen!$B17</f>
        <v>28560.000000000004</v>
      </c>
      <c r="I64" s="4">
        <f>I$4*Resumen!$B17</f>
        <v>28345.800000000003</v>
      </c>
      <c r="J64" s="4">
        <f>J$4*Resumen!$B17</f>
        <v>27667.500000000004</v>
      </c>
      <c r="K64" s="4">
        <f>K$4*Resumen!$B17</f>
        <v>27453.300000000003</v>
      </c>
      <c r="L64" s="4">
        <f>L$4*Resumen!$B17</f>
        <v>3498.6000000000004</v>
      </c>
      <c r="M64" s="4">
        <f>M$4*Resumen!$B17</f>
        <v>6640.2000000000007</v>
      </c>
      <c r="N64" s="4"/>
    </row>
    <row r="65" spans="1:14" x14ac:dyDescent="0.25">
      <c r="A65" s="9" t="s">
        <v>43</v>
      </c>
      <c r="B65" t="s">
        <v>24</v>
      </c>
      <c r="C65" s="4">
        <f>C63-C64</f>
        <v>318707.71554448531</v>
      </c>
      <c r="D65" s="4">
        <f t="shared" ref="D65:M65" si="22">D63-D64</f>
        <v>407682.55281357863</v>
      </c>
      <c r="E65" s="4">
        <f t="shared" si="22"/>
        <v>392159.19251115411</v>
      </c>
      <c r="F65" s="4">
        <f t="shared" si="22"/>
        <v>371543.64655382495</v>
      </c>
      <c r="G65" s="4">
        <f t="shared" si="22"/>
        <v>295732.78831979394</v>
      </c>
      <c r="H65" s="4">
        <f t="shared" si="22"/>
        <v>310612.51197241934</v>
      </c>
      <c r="I65" s="4">
        <f t="shared" si="22"/>
        <v>209652.75892327219</v>
      </c>
      <c r="J65" s="4">
        <f t="shared" si="22"/>
        <v>134596.71277102004</v>
      </c>
      <c r="K65" s="4">
        <f t="shared" si="22"/>
        <v>96695.591368209192</v>
      </c>
      <c r="L65" s="4">
        <f t="shared" si="22"/>
        <v>9678.4812285721127</v>
      </c>
      <c r="M65" s="4">
        <f t="shared" si="22"/>
        <v>33272.86397419071</v>
      </c>
      <c r="N65" s="4"/>
    </row>
    <row r="66" spans="1:14" x14ac:dyDescent="0.25">
      <c r="A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51"/>
      <c r="B67" s="5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8" t="s">
        <v>26</v>
      </c>
      <c r="B68" t="s">
        <v>24</v>
      </c>
      <c r="C68" s="4">
        <f>(C$4+C3)*Resumen!$B13</f>
        <v>17374.654000000002</v>
      </c>
      <c r="D68" s="4">
        <f>(D$4+D3)*Resumen!$B13</f>
        <v>21786.400000000001</v>
      </c>
      <c r="E68" s="4">
        <f>(E$4+E3)*Resumen!$B13</f>
        <v>21786.400000000001</v>
      </c>
      <c r="F68" s="4">
        <f>(F$4+F3)*Resumen!$B13</f>
        <v>21786.400000000001</v>
      </c>
      <c r="G68" s="4">
        <f>(G$4+G3)*Resumen!$B13</f>
        <v>21840.866000000002</v>
      </c>
      <c r="H68" s="4">
        <f>(H$4+H3)*Resumen!$B13</f>
        <v>21786.400000000001</v>
      </c>
      <c r="I68" s="4">
        <f>(I$4+I3)*Resumen!$B13</f>
        <v>21623.002</v>
      </c>
      <c r="J68" s="4">
        <f>(J$4+J3)*Resumen!$B13</f>
        <v>21105.575000000001</v>
      </c>
      <c r="K68" s="4">
        <f>(K$4+K3)*Resumen!$B13</f>
        <v>20942.177000000003</v>
      </c>
      <c r="L68" s="4">
        <f>(L$4+L3)*Resumen!$B13</f>
        <v>2668.8339999999998</v>
      </c>
      <c r="M68" s="4">
        <f>(M$4+M3)*Resumen!$B13</f>
        <v>5065.3380000000006</v>
      </c>
    </row>
    <row r="69" spans="1:14" x14ac:dyDescent="0.25">
      <c r="A69" s="8" t="s">
        <v>27</v>
      </c>
      <c r="B69" t="s">
        <v>24</v>
      </c>
      <c r="C69" s="4">
        <f>C$4*Resumen!$B14</f>
        <v>19140</v>
      </c>
      <c r="D69" s="4">
        <f>D$4*Resumen!$B14</f>
        <v>24000</v>
      </c>
      <c r="E69" s="4">
        <f>E$4*Resumen!$B14</f>
        <v>24000</v>
      </c>
      <c r="F69" s="4">
        <f>F$4*Resumen!$B14</f>
        <v>24000</v>
      </c>
      <c r="G69" s="4">
        <f>G$4*Resumen!$B14</f>
        <v>24060</v>
      </c>
      <c r="H69" s="4">
        <f>H$4*Resumen!$B14</f>
        <v>24000</v>
      </c>
      <c r="I69" s="4">
        <f>I$4*Resumen!$B14</f>
        <v>23820</v>
      </c>
      <c r="J69" s="4">
        <f>J$4*Resumen!$B14</f>
        <v>23250</v>
      </c>
      <c r="K69" s="4">
        <f>K$4*Resumen!$B14</f>
        <v>23070</v>
      </c>
      <c r="L69" s="4">
        <f>L$4*Resumen!$B14</f>
        <v>2940</v>
      </c>
      <c r="M69" s="4">
        <f>M$4*Resumen!$B14</f>
        <v>5580</v>
      </c>
    </row>
    <row r="70" spans="1:14" x14ac:dyDescent="0.25">
      <c r="A70" s="8" t="s">
        <v>1</v>
      </c>
      <c r="B70" t="s">
        <v>24</v>
      </c>
      <c r="C70" s="4">
        <f>C$4*Resumen!$B15</f>
        <v>19331.400000000001</v>
      </c>
      <c r="D70" s="4">
        <f>D$4*Resumen!$B15</f>
        <v>24240</v>
      </c>
      <c r="E70" s="4">
        <f>E$4*Resumen!$B15</f>
        <v>24240</v>
      </c>
      <c r="F70" s="4">
        <f>F$4*Resumen!$B15</f>
        <v>24240</v>
      </c>
      <c r="G70" s="4">
        <f>G$4*Resumen!$B15</f>
        <v>24300.600000000002</v>
      </c>
      <c r="H70" s="4">
        <f>H$4*Resumen!$B15</f>
        <v>24240</v>
      </c>
      <c r="I70" s="4">
        <f>I$4*Resumen!$B15</f>
        <v>24058.2</v>
      </c>
      <c r="J70" s="4">
        <f>J$4*Resumen!$B15</f>
        <v>23482.5</v>
      </c>
      <c r="K70" s="4">
        <f>K$4*Resumen!$B15</f>
        <v>23300.7</v>
      </c>
      <c r="L70" s="4">
        <f>L$4*Resumen!$B15</f>
        <v>2969.4</v>
      </c>
      <c r="M70" s="4">
        <f>M$4*Resumen!$B15</f>
        <v>5635.8</v>
      </c>
    </row>
    <row r="71" spans="1:14" x14ac:dyDescent="0.25">
      <c r="A71" s="8" t="s">
        <v>28</v>
      </c>
      <c r="B71" t="s">
        <v>24</v>
      </c>
      <c r="C71" s="4">
        <f>C$4*Resumen!$B16</f>
        <v>4912.6000000000004</v>
      </c>
      <c r="D71" s="4">
        <f>D$4*Resumen!$B16</f>
        <v>6160</v>
      </c>
      <c r="E71" s="4">
        <f>E$4*Resumen!$B16</f>
        <v>6160</v>
      </c>
      <c r="F71" s="4">
        <f>F$4*Resumen!$B16</f>
        <v>6160</v>
      </c>
      <c r="G71" s="4">
        <f>G$4*Resumen!$B16</f>
        <v>6175.4000000000005</v>
      </c>
      <c r="H71" s="4">
        <f>H$4*Resumen!$B16</f>
        <v>6160</v>
      </c>
      <c r="I71" s="4">
        <f>I$4*Resumen!$B16</f>
        <v>6113.8</v>
      </c>
      <c r="J71" s="4">
        <f>J$4*Resumen!$B16</f>
        <v>5967.5</v>
      </c>
      <c r="K71" s="4">
        <f>K$4*Resumen!$B16</f>
        <v>5921.3</v>
      </c>
      <c r="L71" s="4">
        <f>L$4*Resumen!$B16</f>
        <v>754.6</v>
      </c>
      <c r="M71" s="4">
        <f>M$4*Resumen!$B16</f>
        <v>1432.2</v>
      </c>
      <c r="N71" s="4"/>
    </row>
    <row r="72" spans="1:14" x14ac:dyDescent="0.25">
      <c r="A72" s="8" t="s">
        <v>36</v>
      </c>
      <c r="B72" t="s">
        <v>24</v>
      </c>
      <c r="C72" s="4">
        <f>Resumen!$B19*('Vares Base NAV'!C3+'Vares Base NAV'!C4)</f>
        <v>1521.1834000000001</v>
      </c>
      <c r="D72" s="4">
        <f>Resumen!$B19*('Vares Base NAV'!D3+'Vares Base NAV'!D4)</f>
        <v>1907.4399999999998</v>
      </c>
      <c r="E72" s="4">
        <f>Resumen!$B19*('Vares Base NAV'!E3+'Vares Base NAV'!E4)</f>
        <v>1907.4399999999998</v>
      </c>
      <c r="F72" s="4">
        <f>Resumen!$B19*('Vares Base NAV'!F3+'Vares Base NAV'!F4)</f>
        <v>1907.4399999999998</v>
      </c>
      <c r="G72" s="4">
        <f>Resumen!$B19*('Vares Base NAV'!G3+'Vares Base NAV'!G4)</f>
        <v>1912.2085999999999</v>
      </c>
      <c r="H72" s="4">
        <f>Resumen!$B19*('Vares Base NAV'!H3+'Vares Base NAV'!H4)</f>
        <v>1907.4399999999998</v>
      </c>
      <c r="I72" s="4">
        <f>Resumen!$B19*('Vares Base NAV'!I3+'Vares Base NAV'!I4)</f>
        <v>1893.1342</v>
      </c>
      <c r="J72" s="4">
        <f>Resumen!$B19*('Vares Base NAV'!J3+'Vares Base NAV'!J4)</f>
        <v>1847.8325</v>
      </c>
      <c r="K72" s="4">
        <f>Resumen!$B19*('Vares Base NAV'!K3+'Vares Base NAV'!K4)</f>
        <v>1833.5266999999999</v>
      </c>
      <c r="L72" s="4">
        <f>Resumen!$B19*('Vares Base NAV'!L3+'Vares Base NAV'!L4)</f>
        <v>233.66139999999999</v>
      </c>
      <c r="M72" s="4">
        <f>Resumen!$B19*('Vares Base NAV'!M3+'Vares Base NAV'!M4)</f>
        <v>443.47980000000001</v>
      </c>
      <c r="N72" s="4">
        <f>SUM(C73:M73)</f>
        <v>708896.83259999985</v>
      </c>
    </row>
    <row r="73" spans="1:14" x14ac:dyDescent="0.25">
      <c r="A73" s="9" t="s">
        <v>44</v>
      </c>
      <c r="B73" t="s">
        <v>24</v>
      </c>
      <c r="C73" s="4">
        <f t="shared" ref="C73:M73" si="23">SUM(C68:C72)</f>
        <v>62279.837400000004</v>
      </c>
      <c r="D73" s="4">
        <f t="shared" si="23"/>
        <v>78093.84</v>
      </c>
      <c r="E73" s="4">
        <f t="shared" si="23"/>
        <v>78093.84</v>
      </c>
      <c r="F73" s="4">
        <f t="shared" si="23"/>
        <v>78093.84</v>
      </c>
      <c r="G73" s="4">
        <f t="shared" si="23"/>
        <v>78289.074599999993</v>
      </c>
      <c r="H73" s="4">
        <f t="shared" si="23"/>
        <v>78093.84</v>
      </c>
      <c r="I73" s="4">
        <f t="shared" si="23"/>
        <v>77508.136200000008</v>
      </c>
      <c r="J73" s="4">
        <f t="shared" si="23"/>
        <v>75653.407500000001</v>
      </c>
      <c r="K73" s="4">
        <f t="shared" si="23"/>
        <v>75067.703700000013</v>
      </c>
      <c r="L73" s="4">
        <f t="shared" si="23"/>
        <v>9566.4954000000016</v>
      </c>
      <c r="M73" s="4">
        <f t="shared" si="23"/>
        <v>18156.817800000001</v>
      </c>
    </row>
    <row r="74" spans="1:14" x14ac:dyDescent="0.25">
      <c r="A74" s="8" t="s">
        <v>30</v>
      </c>
      <c r="B74" t="s">
        <v>24</v>
      </c>
      <c r="C74" s="4">
        <f>Resumen!$B18/9</f>
        <v>3555.5555555555557</v>
      </c>
      <c r="D74" s="4">
        <f>Resumen!$B18/9</f>
        <v>3555.5555555555557</v>
      </c>
      <c r="E74" s="4">
        <f>Resumen!$B18/9</f>
        <v>3555.5555555555557</v>
      </c>
      <c r="F74" s="4">
        <f>Resumen!$B18/9</f>
        <v>3555.5555555555557</v>
      </c>
      <c r="G74" s="4">
        <f>Resumen!$B18/9</f>
        <v>3555.5555555555557</v>
      </c>
      <c r="H74" s="4">
        <f>Resumen!$B18/9</f>
        <v>3555.5555555555557</v>
      </c>
      <c r="I74" s="4">
        <f>Resumen!$B18/9</f>
        <v>3555.5555555555557</v>
      </c>
      <c r="J74" s="4">
        <f>Resumen!$B18/9</f>
        <v>3555.5555555555557</v>
      </c>
      <c r="K74" s="4">
        <f>Resumen!$B18/9</f>
        <v>3555.5555555555557</v>
      </c>
      <c r="L74" s="7">
        <v>0</v>
      </c>
      <c r="M74" s="7">
        <v>0</v>
      </c>
    </row>
    <row r="75" spans="1:14" x14ac:dyDescent="0.25">
      <c r="A75" s="8" t="s">
        <v>46</v>
      </c>
      <c r="B75" t="s">
        <v>24</v>
      </c>
      <c r="C75" s="4"/>
      <c r="D75" s="4"/>
      <c r="E75" s="4"/>
      <c r="F75" s="7"/>
      <c r="G75" s="7"/>
      <c r="H75" s="7"/>
      <c r="I75" s="7"/>
      <c r="J75" s="7"/>
      <c r="K75" s="7"/>
      <c r="L75" s="7"/>
      <c r="M75" s="7"/>
    </row>
    <row r="76" spans="1:14" x14ac:dyDescent="0.25">
      <c r="A76" t="s">
        <v>45</v>
      </c>
      <c r="B76" t="s">
        <v>24</v>
      </c>
      <c r="C76" s="4">
        <f>C74</f>
        <v>3555.5555555555557</v>
      </c>
      <c r="D76" s="4">
        <f t="shared" ref="D76:M76" si="24">D74</f>
        <v>3555.5555555555557</v>
      </c>
      <c r="E76" s="4">
        <f t="shared" si="24"/>
        <v>3555.5555555555557</v>
      </c>
      <c r="F76" s="4">
        <f t="shared" si="24"/>
        <v>3555.5555555555557</v>
      </c>
      <c r="G76" s="4">
        <f t="shared" si="24"/>
        <v>3555.5555555555557</v>
      </c>
      <c r="H76" s="4">
        <f t="shared" si="24"/>
        <v>3555.5555555555557</v>
      </c>
      <c r="I76" s="4">
        <f t="shared" si="24"/>
        <v>3555.5555555555557</v>
      </c>
      <c r="J76" s="4">
        <f t="shared" si="24"/>
        <v>3555.5555555555557</v>
      </c>
      <c r="K76" s="4">
        <f t="shared" si="24"/>
        <v>3555.5555555555557</v>
      </c>
      <c r="L76" s="4">
        <f t="shared" si="24"/>
        <v>0</v>
      </c>
      <c r="M76" s="4">
        <f t="shared" si="24"/>
        <v>0</v>
      </c>
    </row>
    <row r="77" spans="1:14" x14ac:dyDescent="0.25">
      <c r="A77" s="9" t="s">
        <v>49</v>
      </c>
      <c r="C77" s="4">
        <f>C65-C73</f>
        <v>256427.87814448529</v>
      </c>
      <c r="D77" s="4">
        <f t="shared" ref="D77:M77" si="25">D65-D73</f>
        <v>329588.71281357866</v>
      </c>
      <c r="E77" s="4">
        <f t="shared" si="25"/>
        <v>314065.35251115414</v>
      </c>
      <c r="F77" s="4">
        <f t="shared" si="25"/>
        <v>293449.80655382492</v>
      </c>
      <c r="G77" s="4">
        <f t="shared" si="25"/>
        <v>217443.71371979394</v>
      </c>
      <c r="H77" s="4">
        <f t="shared" si="25"/>
        <v>232518.67197241934</v>
      </c>
      <c r="I77" s="4">
        <f t="shared" si="25"/>
        <v>132144.62272327219</v>
      </c>
      <c r="J77" s="4">
        <f t="shared" si="25"/>
        <v>58943.305271020043</v>
      </c>
      <c r="K77" s="4">
        <f t="shared" si="25"/>
        <v>21627.88766820918</v>
      </c>
      <c r="L77" s="4">
        <f t="shared" si="25"/>
        <v>111.98582857211113</v>
      </c>
      <c r="M77" s="4">
        <f t="shared" si="25"/>
        <v>15116.046174190709</v>
      </c>
    </row>
    <row r="78" spans="1:14" x14ac:dyDescent="0.25">
      <c r="A78" s="8" t="s">
        <v>47</v>
      </c>
      <c r="B78" t="s">
        <v>24</v>
      </c>
      <c r="C78" s="4">
        <f>Resumen!B33</f>
        <v>203700</v>
      </c>
      <c r="D78" s="4">
        <f>C78+C76-C79</f>
        <v>189047.20462682456</v>
      </c>
      <c r="E78" s="4">
        <f t="shared" ref="E78:M78" si="26">D78+D76-D79</f>
        <v>169341.55726180281</v>
      </c>
      <c r="F78" s="4">
        <f t="shared" si="26"/>
        <v>149147.50940838057</v>
      </c>
      <c r="G78" s="4">
        <f t="shared" si="26"/>
        <v>128387.29028815014</v>
      </c>
      <c r="H78" s="4">
        <f t="shared" si="26"/>
        <v>106891.19755614604</v>
      </c>
      <c r="I78" s="4">
        <f t="shared" si="26"/>
        <v>84626.354955839168</v>
      </c>
      <c r="J78" s="4">
        <f t="shared" si="26"/>
        <v>61478.463926327066</v>
      </c>
      <c r="K78" s="4">
        <f t="shared" si="26"/>
        <v>37462.156736554927</v>
      </c>
      <c r="L78" s="4">
        <f t="shared" si="26"/>
        <v>11062.706829021252</v>
      </c>
      <c r="M78" s="4">
        <f t="shared" si="26"/>
        <v>7245.2939091477219</v>
      </c>
    </row>
    <row r="79" spans="1:14" x14ac:dyDescent="0.25">
      <c r="A79" s="8" t="s">
        <v>48</v>
      </c>
      <c r="C79" s="4">
        <f>(C78+C76)*(C4/C5)</f>
        <v>18208.35092873099</v>
      </c>
      <c r="D79" s="4">
        <f t="shared" ref="D79:M79" si="27">(D78+D76)*(D4/D5)</f>
        <v>23261.202920577307</v>
      </c>
      <c r="E79" s="4">
        <f t="shared" si="27"/>
        <v>23749.6034089778</v>
      </c>
      <c r="F79" s="4">
        <f t="shared" si="27"/>
        <v>24315.774675786008</v>
      </c>
      <c r="G79" s="4">
        <f t="shared" si="27"/>
        <v>25051.648287559652</v>
      </c>
      <c r="H79" s="4">
        <f t="shared" si="27"/>
        <v>25820.398155862444</v>
      </c>
      <c r="I79" s="4">
        <f t="shared" si="27"/>
        <v>26703.446585067668</v>
      </c>
      <c r="J79" s="4">
        <f t="shared" si="27"/>
        <v>27571.862745327697</v>
      </c>
      <c r="K79" s="4">
        <f t="shared" si="27"/>
        <v>29955.00546308923</v>
      </c>
      <c r="L79" s="4">
        <f t="shared" si="27"/>
        <v>3817.4129198735304</v>
      </c>
      <c r="M79" s="4">
        <f t="shared" si="27"/>
        <v>7245.2939091477219</v>
      </c>
    </row>
    <row r="80" spans="1:14" x14ac:dyDescent="0.25">
      <c r="A80" s="9" t="s">
        <v>50</v>
      </c>
      <c r="C80" s="4">
        <f>C77-C79</f>
        <v>238219.52721575429</v>
      </c>
      <c r="D80" s="4">
        <f t="shared" ref="D80:M80" si="28">D77-D79</f>
        <v>306327.50989300135</v>
      </c>
      <c r="E80" s="4">
        <f t="shared" si="28"/>
        <v>290315.74910217634</v>
      </c>
      <c r="F80" s="4">
        <f t="shared" si="28"/>
        <v>269134.03187803889</v>
      </c>
      <c r="G80" s="4">
        <f t="shared" si="28"/>
        <v>192392.06543223429</v>
      </c>
      <c r="H80" s="4">
        <f t="shared" si="28"/>
        <v>206698.2738165569</v>
      </c>
      <c r="I80" s="4">
        <f t="shared" si="28"/>
        <v>105441.17613820452</v>
      </c>
      <c r="J80" s="4">
        <f t="shared" si="28"/>
        <v>31371.442525692346</v>
      </c>
      <c r="K80" s="4">
        <f t="shared" si="28"/>
        <v>-8327.1177948800505</v>
      </c>
      <c r="L80" s="4">
        <f t="shared" si="28"/>
        <v>-3705.4270913014193</v>
      </c>
      <c r="M80" s="4">
        <f t="shared" si="28"/>
        <v>7870.7522650429873</v>
      </c>
    </row>
    <row r="81" spans="1:14" x14ac:dyDescent="0.25">
      <c r="A81" s="8" t="s">
        <v>33</v>
      </c>
      <c r="C81" s="4">
        <f>C80*Resumen!$B23</f>
        <v>23821.952721575431</v>
      </c>
      <c r="D81" s="4">
        <f>D80*Resumen!$B23</f>
        <v>30632.750989300137</v>
      </c>
      <c r="E81" s="4">
        <f>E80*Resumen!$B23</f>
        <v>29031.574910217634</v>
      </c>
      <c r="F81" s="4">
        <f>F80*Resumen!$B23</f>
        <v>26913.403187803891</v>
      </c>
      <c r="G81" s="4">
        <f>G80*Resumen!$B23</f>
        <v>19239.20654322343</v>
      </c>
      <c r="H81" s="4">
        <f>H80*Resumen!$B23</f>
        <v>20669.82738165569</v>
      </c>
      <c r="I81" s="4">
        <f>I80*Resumen!$B23</f>
        <v>10544.117613820454</v>
      </c>
      <c r="J81" s="4">
        <f>J80*Resumen!$B23</f>
        <v>3137.1442525692346</v>
      </c>
      <c r="K81" s="4">
        <f>K80*Resumen!$B23</f>
        <v>-832.71177948800505</v>
      </c>
      <c r="L81" s="4">
        <f>L80*Resumen!$B23</f>
        <v>-370.54270913014193</v>
      </c>
      <c r="M81" s="4">
        <f>M80*Resumen!$B23</f>
        <v>787.07522650429883</v>
      </c>
    </row>
    <row r="82" spans="1:14" x14ac:dyDescent="0.25">
      <c r="A82" s="9" t="s">
        <v>59</v>
      </c>
      <c r="C82" s="4">
        <f>C80-C81</f>
        <v>214397.57449417887</v>
      </c>
      <c r="D82" s="4">
        <f t="shared" ref="D82:M82" si="29">D80-D81</f>
        <v>275694.75890370121</v>
      </c>
      <c r="E82" s="4">
        <f t="shared" si="29"/>
        <v>261284.17419195871</v>
      </c>
      <c r="F82" s="4">
        <f t="shared" si="29"/>
        <v>242220.628690235</v>
      </c>
      <c r="G82" s="4">
        <f t="shared" si="29"/>
        <v>173152.85888901085</v>
      </c>
      <c r="H82" s="4">
        <f t="shared" si="29"/>
        <v>186028.44643490121</v>
      </c>
      <c r="I82" s="4">
        <f t="shared" si="29"/>
        <v>94897.058524384076</v>
      </c>
      <c r="J82" s="4">
        <f t="shared" si="29"/>
        <v>28234.29827312311</v>
      </c>
      <c r="K82" s="4">
        <f t="shared" si="29"/>
        <v>-7494.4060153920454</v>
      </c>
      <c r="L82" s="4">
        <f t="shared" si="29"/>
        <v>-3334.8843821712771</v>
      </c>
      <c r="M82" s="4">
        <f t="shared" si="29"/>
        <v>7083.6770385386881</v>
      </c>
    </row>
    <row r="83" spans="1:14" x14ac:dyDescent="0.25">
      <c r="A83" t="s">
        <v>60</v>
      </c>
      <c r="B83" t="s">
        <v>24</v>
      </c>
      <c r="C83" s="4">
        <f>C82-C76+C79</f>
        <v>229050.36986735431</v>
      </c>
      <c r="D83" s="4">
        <f t="shared" ref="D83:M83" si="30">D82-D76+D79</f>
        <v>295400.40626872296</v>
      </c>
      <c r="E83" s="4">
        <f t="shared" si="30"/>
        <v>281478.22204538097</v>
      </c>
      <c r="F83" s="4">
        <f t="shared" si="30"/>
        <v>262980.84781046544</v>
      </c>
      <c r="G83" s="4">
        <f t="shared" si="30"/>
        <v>194648.95162101494</v>
      </c>
      <c r="H83" s="4">
        <f t="shared" si="30"/>
        <v>208293.28903520809</v>
      </c>
      <c r="I83" s="4">
        <f t="shared" si="30"/>
        <v>118044.94955389618</v>
      </c>
      <c r="J83" s="4">
        <f t="shared" si="30"/>
        <v>52250.605462895255</v>
      </c>
      <c r="K83" s="4">
        <f t="shared" si="30"/>
        <v>18905.043892141628</v>
      </c>
      <c r="L83" s="4">
        <f t="shared" si="30"/>
        <v>482.52853770225329</v>
      </c>
      <c r="M83" s="4">
        <f t="shared" si="30"/>
        <v>14328.97094768641</v>
      </c>
      <c r="N83" s="4">
        <f>SUM(C83:M83)</f>
        <v>1675864.1850424684</v>
      </c>
    </row>
    <row r="84" spans="1:14" x14ac:dyDescent="0.25">
      <c r="A84" s="35" t="s">
        <v>34</v>
      </c>
      <c r="B84" s="35"/>
      <c r="C84" s="4">
        <f>C83/(1+Resumen!$H6)^C2</f>
        <v>212083.67580310584</v>
      </c>
      <c r="D84" s="4">
        <f>D83/(1+Resumen!$H6)^D2</f>
        <v>253258.23582709441</v>
      </c>
      <c r="E84" s="4">
        <f>E83/(1+Resumen!$H6)^E2</f>
        <v>223446.48780465769</v>
      </c>
      <c r="F84" s="4">
        <f>F83/(1+Resumen!$H6)^F2</f>
        <v>193298.7738544129</v>
      </c>
      <c r="G84" s="4">
        <f>G83/(1+Resumen!$H6)^G2</f>
        <v>132474.80579349867</v>
      </c>
      <c r="H84" s="4">
        <f>H83/(1+Resumen!$H6)^H2</f>
        <v>131260.10423357174</v>
      </c>
      <c r="I84" s="4">
        <f>I83/(1+Resumen!$H6)^I2</f>
        <v>68878.09427390153</v>
      </c>
      <c r="J84" s="4">
        <f>J83/(1+Resumen!$H6)^J2</f>
        <v>28229.37632799126</v>
      </c>
      <c r="K84" s="4">
        <f>K83/(1+Resumen!$H6)^K2</f>
        <v>9457.2286806187476</v>
      </c>
      <c r="L84" s="4">
        <f>L83/(1+Resumen!$H6)^L2</f>
        <v>223.50407647870878</v>
      </c>
      <c r="M84" s="4">
        <f>M83/(1+Resumen!$H6)^M2</f>
        <v>6145.4500314101597</v>
      </c>
      <c r="N84" s="4">
        <f>SUM(C84:M84)</f>
        <v>1258755.7367067419</v>
      </c>
    </row>
  </sheetData>
  <mergeCells count="10">
    <mergeCell ref="A6:B6"/>
    <mergeCell ref="A13:B13"/>
    <mergeCell ref="A20:B20"/>
    <mergeCell ref="A27:B27"/>
    <mergeCell ref="A34:B34"/>
    <mergeCell ref="A84:B84"/>
    <mergeCell ref="A48:B48"/>
    <mergeCell ref="A56:B56"/>
    <mergeCell ref="A41:B41"/>
    <mergeCell ref="A67:B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9285-67DA-49D8-B67B-8BBD76A820D6}">
  <dimension ref="A1:V84"/>
  <sheetViews>
    <sheetView zoomScale="140" zoomScaleNormal="140" workbookViewId="0">
      <selection activeCell="M84" sqref="M84:U84"/>
    </sheetView>
  </sheetViews>
  <sheetFormatPr baseColWidth="10" defaultRowHeight="15" x14ac:dyDescent="0.25"/>
  <cols>
    <col min="1" max="1" width="28.28515625" customWidth="1"/>
    <col min="3" max="3" width="14.140625" bestFit="1" customWidth="1"/>
  </cols>
  <sheetData>
    <row r="1" spans="1:22" x14ac:dyDescent="0.25"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  <c r="I1">
        <v>2030</v>
      </c>
      <c r="J1">
        <v>2031</v>
      </c>
      <c r="K1">
        <v>2032</v>
      </c>
      <c r="L1">
        <v>2033</v>
      </c>
      <c r="M1">
        <v>2034</v>
      </c>
      <c r="N1">
        <v>2035</v>
      </c>
      <c r="O1">
        <v>2036</v>
      </c>
      <c r="P1">
        <v>2037</v>
      </c>
      <c r="Q1">
        <v>2038</v>
      </c>
      <c r="R1">
        <v>2039</v>
      </c>
      <c r="S1">
        <v>2040</v>
      </c>
      <c r="T1">
        <v>2041</v>
      </c>
      <c r="U1">
        <v>2042</v>
      </c>
    </row>
    <row r="2" spans="1:22" x14ac:dyDescent="0.25">
      <c r="A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  <c r="M2">
        <v>11</v>
      </c>
      <c r="N2">
        <v>12</v>
      </c>
      <c r="O2">
        <v>13</v>
      </c>
      <c r="P2">
        <v>14</v>
      </c>
      <c r="Q2">
        <v>15</v>
      </c>
      <c r="R2">
        <v>16</v>
      </c>
      <c r="S2">
        <v>17</v>
      </c>
      <c r="T2">
        <v>18</v>
      </c>
      <c r="U2">
        <v>19</v>
      </c>
    </row>
    <row r="3" spans="1:22" x14ac:dyDescent="0.25">
      <c r="A3" t="s">
        <v>40</v>
      </c>
      <c r="B3" t="s">
        <v>2</v>
      </c>
      <c r="C3">
        <f>C4*Resumen!$B21</f>
        <v>82.94</v>
      </c>
      <c r="D3">
        <f>D4*Resumen!$B21</f>
        <v>104</v>
      </c>
      <c r="E3">
        <f>E4*Resumen!$B21</f>
        <v>104</v>
      </c>
      <c r="F3">
        <f>F4*Resumen!$B21</f>
        <v>104</v>
      </c>
      <c r="G3">
        <f>G4*Resumen!$B21</f>
        <v>104.26</v>
      </c>
      <c r="H3">
        <f>H4*Resumen!$B21</f>
        <v>104</v>
      </c>
      <c r="I3">
        <f>I4*Resumen!$B21</f>
        <v>104</v>
      </c>
      <c r="J3">
        <f>J4*Resumen!$B21</f>
        <v>104</v>
      </c>
      <c r="K3">
        <f>K4*Resumen!$B21</f>
        <v>104</v>
      </c>
      <c r="L3">
        <f>L4*Resumen!$B21</f>
        <v>104</v>
      </c>
      <c r="M3">
        <f>M4*Resumen!$B21</f>
        <v>104</v>
      </c>
      <c r="N3">
        <f>N4*Resumen!$B21</f>
        <v>104</v>
      </c>
      <c r="O3">
        <f>O4*Resumen!$B21</f>
        <v>104</v>
      </c>
      <c r="P3">
        <f>P4*Resumen!$B21</f>
        <v>104</v>
      </c>
      <c r="Q3">
        <f>Q4*Resumen!$B21</f>
        <v>104</v>
      </c>
      <c r="R3">
        <f>R4*Resumen!$B21</f>
        <v>104</v>
      </c>
      <c r="S3">
        <f>S4*Resumen!$B21</f>
        <v>103.22</v>
      </c>
      <c r="T3">
        <f>T4*Resumen!$B21</f>
        <v>100.75</v>
      </c>
      <c r="U3">
        <f>U4*Resumen!$B21</f>
        <v>99.97</v>
      </c>
    </row>
    <row r="4" spans="1:22" x14ac:dyDescent="0.25">
      <c r="A4" t="s">
        <v>1</v>
      </c>
      <c r="B4" t="s">
        <v>2</v>
      </c>
      <c r="C4">
        <v>638</v>
      </c>
      <c r="D4">
        <v>800</v>
      </c>
      <c r="E4">
        <v>800</v>
      </c>
      <c r="F4">
        <v>800</v>
      </c>
      <c r="G4">
        <v>802</v>
      </c>
      <c r="H4">
        <v>800</v>
      </c>
      <c r="I4">
        <v>800</v>
      </c>
      <c r="J4">
        <v>800</v>
      </c>
      <c r="K4">
        <v>800</v>
      </c>
      <c r="L4">
        <v>800</v>
      </c>
      <c r="M4">
        <v>800</v>
      </c>
      <c r="N4">
        <v>800</v>
      </c>
      <c r="O4">
        <v>800</v>
      </c>
      <c r="P4">
        <v>800</v>
      </c>
      <c r="Q4">
        <v>800</v>
      </c>
      <c r="R4">
        <v>800</v>
      </c>
      <c r="S4">
        <v>794</v>
      </c>
      <c r="T4">
        <v>775</v>
      </c>
      <c r="U4">
        <v>769</v>
      </c>
      <c r="V4">
        <f>SUM(C4:U4)</f>
        <v>14978</v>
      </c>
    </row>
    <row r="5" spans="1:22" x14ac:dyDescent="0.25">
      <c r="A5" t="s">
        <v>58</v>
      </c>
      <c r="B5" t="s">
        <v>2</v>
      </c>
      <c r="C5">
        <f>V4</f>
        <v>14978</v>
      </c>
      <c r="D5">
        <f>C5-C4</f>
        <v>14340</v>
      </c>
      <c r="E5">
        <f t="shared" ref="E5:M5" si="0">D5-D4</f>
        <v>13540</v>
      </c>
      <c r="F5">
        <f t="shared" si="0"/>
        <v>12740</v>
      </c>
      <c r="G5">
        <f t="shared" si="0"/>
        <v>11940</v>
      </c>
      <c r="H5">
        <f t="shared" si="0"/>
        <v>11138</v>
      </c>
      <c r="I5">
        <f t="shared" si="0"/>
        <v>10338</v>
      </c>
      <c r="J5">
        <f t="shared" si="0"/>
        <v>9538</v>
      </c>
      <c r="K5">
        <f t="shared" si="0"/>
        <v>8738</v>
      </c>
      <c r="L5">
        <f t="shared" si="0"/>
        <v>7938</v>
      </c>
      <c r="M5">
        <f t="shared" si="0"/>
        <v>7138</v>
      </c>
      <c r="N5">
        <f t="shared" ref="N5" si="1">M5-M4</f>
        <v>6338</v>
      </c>
      <c r="O5">
        <f t="shared" ref="O5" si="2">N5-N4</f>
        <v>5538</v>
      </c>
      <c r="P5">
        <f t="shared" ref="P5" si="3">O5-O4</f>
        <v>4738</v>
      </c>
      <c r="Q5">
        <f t="shared" ref="Q5" si="4">P5-P4</f>
        <v>3938</v>
      </c>
      <c r="R5">
        <f t="shared" ref="R5" si="5">Q5-Q4</f>
        <v>3138</v>
      </c>
      <c r="S5">
        <f t="shared" ref="S5" si="6">R5-R4</f>
        <v>2338</v>
      </c>
      <c r="T5">
        <f t="shared" ref="T5" si="7">S5-S4</f>
        <v>1544</v>
      </c>
      <c r="U5">
        <f t="shared" ref="U5" si="8">T5-T4</f>
        <v>769</v>
      </c>
    </row>
    <row r="6" spans="1:22" x14ac:dyDescent="0.25">
      <c r="A6" s="35" t="s">
        <v>11</v>
      </c>
      <c r="B6" s="35"/>
    </row>
    <row r="7" spans="1:22" x14ac:dyDescent="0.25">
      <c r="A7" t="s">
        <v>5</v>
      </c>
      <c r="B7" t="s">
        <v>3</v>
      </c>
      <c r="C7">
        <v>340</v>
      </c>
      <c r="D7">
        <v>242</v>
      </c>
      <c r="E7">
        <v>199</v>
      </c>
      <c r="F7">
        <v>204</v>
      </c>
      <c r="G7">
        <v>231</v>
      </c>
      <c r="H7">
        <v>240</v>
      </c>
      <c r="I7">
        <v>182</v>
      </c>
      <c r="J7" s="14">
        <v>208.33333333333334</v>
      </c>
      <c r="K7" s="14">
        <v>208.33333333333334</v>
      </c>
      <c r="L7" s="14">
        <v>208.333333333333</v>
      </c>
      <c r="M7" s="14">
        <v>208.333333333333</v>
      </c>
      <c r="N7" s="14">
        <v>208.333333333333</v>
      </c>
      <c r="O7" s="14">
        <v>208.333333333333</v>
      </c>
      <c r="P7" s="14">
        <v>208.333333333333</v>
      </c>
      <c r="Q7" s="14">
        <v>208.333333333333</v>
      </c>
      <c r="R7" s="16">
        <v>182</v>
      </c>
      <c r="S7" s="16">
        <v>127</v>
      </c>
      <c r="T7" s="16">
        <v>110</v>
      </c>
      <c r="U7" s="16">
        <v>98</v>
      </c>
    </row>
    <row r="8" spans="1:22" x14ac:dyDescent="0.25">
      <c r="A8" t="s">
        <v>6</v>
      </c>
      <c r="B8" t="s">
        <v>4</v>
      </c>
      <c r="C8" s="1">
        <v>6.6000000000000003E-2</v>
      </c>
      <c r="D8" s="1">
        <v>0.09</v>
      </c>
      <c r="E8" s="1">
        <v>9.5000000000000001E-2</v>
      </c>
      <c r="F8" s="1">
        <v>8.6999999999999994E-2</v>
      </c>
      <c r="G8" s="1">
        <v>5.3999999999999999E-2</v>
      </c>
      <c r="H8" s="1">
        <v>5.8999999999999997E-2</v>
      </c>
      <c r="I8" s="1">
        <v>3.6999999999999998E-2</v>
      </c>
      <c r="J8" s="15">
        <v>5.91111111111111E-2</v>
      </c>
      <c r="K8" s="15">
        <v>5.91111111111111E-2</v>
      </c>
      <c r="L8" s="15">
        <v>5.91111111111111E-2</v>
      </c>
      <c r="M8" s="15">
        <v>5.91111111111111E-2</v>
      </c>
      <c r="N8" s="15">
        <v>5.91111111111111E-2</v>
      </c>
      <c r="O8" s="15">
        <v>5.91111111111111E-2</v>
      </c>
      <c r="P8" s="15">
        <v>5.91111111111111E-2</v>
      </c>
      <c r="Q8" s="15">
        <v>5.91111111111111E-2</v>
      </c>
      <c r="R8" s="17">
        <v>3.6999999999999998E-2</v>
      </c>
      <c r="S8" s="17">
        <v>2.5999999999999999E-2</v>
      </c>
      <c r="T8" s="17">
        <v>1.7999999999999999E-2</v>
      </c>
      <c r="U8" s="17">
        <v>1.2999999999999999E-2</v>
      </c>
    </row>
    <row r="9" spans="1:22" x14ac:dyDescent="0.25">
      <c r="A9" t="s">
        <v>7</v>
      </c>
      <c r="B9" t="s">
        <v>4</v>
      </c>
      <c r="C9" s="1">
        <v>4.3999999999999997E-2</v>
      </c>
      <c r="D9" s="1">
        <v>5.3999999999999999E-2</v>
      </c>
      <c r="E9" s="1">
        <v>5.7000000000000002E-2</v>
      </c>
      <c r="F9" s="1">
        <v>0.05</v>
      </c>
      <c r="G9" s="1">
        <v>3.3000000000000002E-2</v>
      </c>
      <c r="H9" s="1">
        <v>3.6999999999999998E-2</v>
      </c>
      <c r="I9" s="1">
        <v>2.5999999999999999E-2</v>
      </c>
      <c r="J9" s="15">
        <v>3.7000000000000005E-2</v>
      </c>
      <c r="K9" s="15">
        <v>3.7000000000000005E-2</v>
      </c>
      <c r="L9" s="15">
        <v>3.7000000000000005E-2</v>
      </c>
      <c r="M9" s="15">
        <v>3.7000000000000005E-2</v>
      </c>
      <c r="N9" s="15">
        <v>3.7000000000000005E-2</v>
      </c>
      <c r="O9" s="15">
        <v>3.7000000000000005E-2</v>
      </c>
      <c r="P9" s="15">
        <v>3.7000000000000005E-2</v>
      </c>
      <c r="Q9" s="15">
        <v>3.7000000000000005E-2</v>
      </c>
      <c r="R9" s="17">
        <v>2.5999999999999999E-2</v>
      </c>
      <c r="S9" s="17">
        <v>1.9E-2</v>
      </c>
      <c r="T9" s="17">
        <v>1.2999999999999999E-2</v>
      </c>
      <c r="U9" s="17">
        <v>0.01</v>
      </c>
    </row>
    <row r="10" spans="1:22" x14ac:dyDescent="0.25">
      <c r="A10" t="s">
        <v>8</v>
      </c>
      <c r="B10" t="s">
        <v>4</v>
      </c>
      <c r="C10" s="1">
        <v>7.0000000000000001E-3</v>
      </c>
      <c r="D10" s="1">
        <v>0.01</v>
      </c>
      <c r="E10" s="1">
        <v>1.0999999999999999E-2</v>
      </c>
      <c r="F10" s="1">
        <v>8.9999999999999993E-3</v>
      </c>
      <c r="G10" s="1">
        <v>6.0000000000000001E-3</v>
      </c>
      <c r="H10" s="1">
        <v>5.0000000000000001E-3</v>
      </c>
      <c r="I10" s="1">
        <v>4.0000000000000001E-3</v>
      </c>
      <c r="J10" s="15">
        <v>6.4444444444444436E-3</v>
      </c>
      <c r="K10" s="15">
        <v>6.4444444444444436E-3</v>
      </c>
      <c r="L10" s="15">
        <v>6.4444444444444436E-3</v>
      </c>
      <c r="M10" s="15">
        <v>6.4444444444444436E-3</v>
      </c>
      <c r="N10" s="15">
        <v>6.4444444444444436E-3</v>
      </c>
      <c r="O10" s="15">
        <v>6.4444444444444436E-3</v>
      </c>
      <c r="P10" s="15">
        <v>6.4444444444444436E-3</v>
      </c>
      <c r="Q10" s="15">
        <v>6.4444444444444436E-3</v>
      </c>
      <c r="R10" s="17">
        <v>4.0000000000000001E-3</v>
      </c>
      <c r="S10" s="17">
        <v>3.0000000000000001E-3</v>
      </c>
      <c r="T10" s="17">
        <v>3.0000000000000001E-3</v>
      </c>
      <c r="U10" s="17">
        <v>3.0000000000000001E-3</v>
      </c>
    </row>
    <row r="11" spans="1:22" x14ac:dyDescent="0.25">
      <c r="A11" t="s">
        <v>9</v>
      </c>
      <c r="B11" t="s">
        <v>3</v>
      </c>
      <c r="C11">
        <v>2.8</v>
      </c>
      <c r="D11">
        <v>2.5</v>
      </c>
      <c r="E11">
        <v>2.1</v>
      </c>
      <c r="F11">
        <v>2.2999999999999998</v>
      </c>
      <c r="G11">
        <v>2.2999999999999998</v>
      </c>
      <c r="H11">
        <v>2.2000000000000002</v>
      </c>
      <c r="I11">
        <v>1.6</v>
      </c>
      <c r="J11" s="14">
        <v>1.944444444444444</v>
      </c>
      <c r="K11" s="14">
        <v>1.944444444444444</v>
      </c>
      <c r="L11" s="14">
        <v>1.944444444444444</v>
      </c>
      <c r="M11" s="14">
        <v>1.944444444444444</v>
      </c>
      <c r="N11" s="14">
        <v>1.944444444444444</v>
      </c>
      <c r="O11" s="14">
        <v>1.944444444444444</v>
      </c>
      <c r="P11" s="14">
        <v>1.944444444444444</v>
      </c>
      <c r="Q11" s="14">
        <v>1.944444444444444</v>
      </c>
      <c r="R11" s="16">
        <v>1.6</v>
      </c>
      <c r="S11" s="16">
        <v>1</v>
      </c>
      <c r="T11" s="16">
        <v>0.7</v>
      </c>
      <c r="U11" s="16">
        <v>0.6</v>
      </c>
    </row>
    <row r="12" spans="1:22" x14ac:dyDescent="0.25">
      <c r="A12" t="s">
        <v>10</v>
      </c>
      <c r="B12" t="s">
        <v>4</v>
      </c>
      <c r="C12" s="1">
        <v>2E-3</v>
      </c>
      <c r="D12" s="1">
        <v>3.0000000000000001E-3</v>
      </c>
      <c r="E12" s="1">
        <v>3.0000000000000001E-3</v>
      </c>
      <c r="F12" s="1">
        <v>3.0000000000000001E-3</v>
      </c>
      <c r="G12" s="1">
        <v>2E-3</v>
      </c>
      <c r="H12" s="1">
        <v>2E-3</v>
      </c>
      <c r="I12" s="1">
        <v>2E-3</v>
      </c>
      <c r="J12" s="15">
        <v>2.333333333333334E-3</v>
      </c>
      <c r="K12" s="15">
        <v>2.333333333333334E-3</v>
      </c>
      <c r="L12" s="15">
        <v>2.333333333333334E-3</v>
      </c>
      <c r="M12" s="15">
        <v>2.333333333333334E-3</v>
      </c>
      <c r="N12" s="15">
        <v>2.333333333333334E-3</v>
      </c>
      <c r="O12" s="15">
        <v>2.333333333333334E-3</v>
      </c>
      <c r="P12" s="15">
        <v>2.333333333333334E-3</v>
      </c>
      <c r="Q12" s="15">
        <v>2.333333333333334E-3</v>
      </c>
      <c r="R12" s="17">
        <v>2E-3</v>
      </c>
      <c r="S12" s="17">
        <v>2E-3</v>
      </c>
      <c r="T12" s="17">
        <v>2E-3</v>
      </c>
      <c r="U12" s="17">
        <v>2E-3</v>
      </c>
    </row>
    <row r="13" spans="1:22" x14ac:dyDescent="0.25">
      <c r="A13" s="35" t="s">
        <v>12</v>
      </c>
      <c r="B13" s="35"/>
    </row>
    <row r="14" spans="1:22" x14ac:dyDescent="0.25">
      <c r="A14" t="s">
        <v>5</v>
      </c>
      <c r="B14">
        <v>0.18</v>
      </c>
      <c r="C14" s="1">
        <f>$B14</f>
        <v>0.18</v>
      </c>
      <c r="D14" s="1">
        <f t="shared" ref="D14:S26" si="9">$B14</f>
        <v>0.18</v>
      </c>
      <c r="E14" s="1">
        <f t="shared" si="9"/>
        <v>0.18</v>
      </c>
      <c r="F14" s="1">
        <f t="shared" si="9"/>
        <v>0.18</v>
      </c>
      <c r="G14" s="1">
        <f t="shared" si="9"/>
        <v>0.18</v>
      </c>
      <c r="H14" s="1">
        <f t="shared" si="9"/>
        <v>0.18</v>
      </c>
      <c r="I14" s="1">
        <f t="shared" si="9"/>
        <v>0.18</v>
      </c>
      <c r="J14" s="1">
        <f t="shared" si="9"/>
        <v>0.18</v>
      </c>
      <c r="K14" s="1">
        <f t="shared" si="9"/>
        <v>0.18</v>
      </c>
      <c r="L14" s="1">
        <f t="shared" si="9"/>
        <v>0.18</v>
      </c>
      <c r="M14" s="1">
        <f t="shared" si="9"/>
        <v>0.18</v>
      </c>
      <c r="N14" s="1">
        <f t="shared" si="9"/>
        <v>0.18</v>
      </c>
      <c r="O14" s="1">
        <f t="shared" si="9"/>
        <v>0.18</v>
      </c>
      <c r="P14" s="1">
        <f t="shared" si="9"/>
        <v>0.18</v>
      </c>
      <c r="Q14" s="1">
        <f t="shared" si="9"/>
        <v>0.18</v>
      </c>
      <c r="R14" s="1">
        <f t="shared" si="9"/>
        <v>0.18</v>
      </c>
      <c r="S14" s="1">
        <f t="shared" si="9"/>
        <v>0.18</v>
      </c>
      <c r="T14" s="1">
        <f t="shared" ref="T14:U19" si="10">$B14</f>
        <v>0.18</v>
      </c>
      <c r="U14" s="1">
        <f t="shared" si="10"/>
        <v>0.18</v>
      </c>
    </row>
    <row r="15" spans="1:22" x14ac:dyDescent="0.25">
      <c r="A15" t="s">
        <v>6</v>
      </c>
      <c r="B15">
        <f>0.8</f>
        <v>0.8</v>
      </c>
      <c r="C15" s="1">
        <f t="shared" ref="C15:C26" si="11">$B15</f>
        <v>0.8</v>
      </c>
      <c r="D15" s="1">
        <f t="shared" si="9"/>
        <v>0.8</v>
      </c>
      <c r="E15" s="1">
        <f t="shared" si="9"/>
        <v>0.8</v>
      </c>
      <c r="F15" s="1">
        <f t="shared" si="9"/>
        <v>0.8</v>
      </c>
      <c r="G15" s="1">
        <f t="shared" si="9"/>
        <v>0.8</v>
      </c>
      <c r="H15" s="1">
        <f t="shared" si="9"/>
        <v>0.8</v>
      </c>
      <c r="I15" s="1">
        <f t="shared" si="9"/>
        <v>0.8</v>
      </c>
      <c r="J15" s="1">
        <f t="shared" si="9"/>
        <v>0.8</v>
      </c>
      <c r="K15" s="1">
        <f t="shared" si="9"/>
        <v>0.8</v>
      </c>
      <c r="L15" s="1">
        <f t="shared" si="9"/>
        <v>0.8</v>
      </c>
      <c r="M15" s="1">
        <f t="shared" si="9"/>
        <v>0.8</v>
      </c>
      <c r="N15" s="1">
        <f t="shared" si="9"/>
        <v>0.8</v>
      </c>
      <c r="O15" s="1">
        <f t="shared" si="9"/>
        <v>0.8</v>
      </c>
      <c r="P15" s="1">
        <f t="shared" si="9"/>
        <v>0.8</v>
      </c>
      <c r="Q15" s="1">
        <f t="shared" si="9"/>
        <v>0.8</v>
      </c>
      <c r="R15" s="1">
        <f t="shared" si="9"/>
        <v>0.8</v>
      </c>
      <c r="S15" s="1">
        <f t="shared" si="9"/>
        <v>0.8</v>
      </c>
      <c r="T15" s="1">
        <f t="shared" si="10"/>
        <v>0.8</v>
      </c>
      <c r="U15" s="1">
        <f t="shared" si="10"/>
        <v>0.8</v>
      </c>
    </row>
    <row r="16" spans="1:22" x14ac:dyDescent="0.25">
      <c r="A16" t="s">
        <v>7</v>
      </c>
      <c r="B16">
        <f>0.07</f>
        <v>7.0000000000000007E-2</v>
      </c>
      <c r="C16" s="1">
        <f t="shared" si="11"/>
        <v>7.0000000000000007E-2</v>
      </c>
      <c r="D16" s="1">
        <f t="shared" si="9"/>
        <v>7.0000000000000007E-2</v>
      </c>
      <c r="E16" s="1">
        <f t="shared" si="9"/>
        <v>7.0000000000000007E-2</v>
      </c>
      <c r="F16" s="1">
        <f t="shared" si="9"/>
        <v>7.0000000000000007E-2</v>
      </c>
      <c r="G16" s="1">
        <f t="shared" si="9"/>
        <v>7.0000000000000007E-2</v>
      </c>
      <c r="H16" s="1">
        <f t="shared" si="9"/>
        <v>7.0000000000000007E-2</v>
      </c>
      <c r="I16" s="1">
        <f t="shared" si="9"/>
        <v>7.0000000000000007E-2</v>
      </c>
      <c r="J16" s="1">
        <f t="shared" si="9"/>
        <v>7.0000000000000007E-2</v>
      </c>
      <c r="K16" s="1">
        <f t="shared" si="9"/>
        <v>7.0000000000000007E-2</v>
      </c>
      <c r="L16" s="1">
        <f t="shared" si="9"/>
        <v>7.0000000000000007E-2</v>
      </c>
      <c r="M16" s="1">
        <f t="shared" si="9"/>
        <v>7.0000000000000007E-2</v>
      </c>
      <c r="N16" s="1">
        <f t="shared" si="9"/>
        <v>7.0000000000000007E-2</v>
      </c>
      <c r="O16" s="1">
        <f t="shared" si="9"/>
        <v>7.0000000000000007E-2</v>
      </c>
      <c r="P16" s="1">
        <f t="shared" si="9"/>
        <v>7.0000000000000007E-2</v>
      </c>
      <c r="Q16" s="1">
        <f t="shared" si="9"/>
        <v>7.0000000000000007E-2</v>
      </c>
      <c r="R16" s="1">
        <f t="shared" si="9"/>
        <v>7.0000000000000007E-2</v>
      </c>
      <c r="S16" s="1">
        <f t="shared" si="9"/>
        <v>7.0000000000000007E-2</v>
      </c>
      <c r="T16" s="1">
        <f t="shared" si="10"/>
        <v>7.0000000000000007E-2</v>
      </c>
      <c r="U16" s="1">
        <f t="shared" si="10"/>
        <v>7.0000000000000007E-2</v>
      </c>
    </row>
    <row r="17" spans="1:21" x14ac:dyDescent="0.25">
      <c r="A17" t="s">
        <v>8</v>
      </c>
      <c r="B17">
        <f>0.14</f>
        <v>0.14000000000000001</v>
      </c>
      <c r="C17" s="1">
        <f t="shared" si="11"/>
        <v>0.14000000000000001</v>
      </c>
      <c r="D17" s="1">
        <f t="shared" si="9"/>
        <v>0.14000000000000001</v>
      </c>
      <c r="E17" s="1">
        <f t="shared" si="9"/>
        <v>0.14000000000000001</v>
      </c>
      <c r="F17" s="1">
        <f t="shared" si="9"/>
        <v>0.14000000000000001</v>
      </c>
      <c r="G17" s="1">
        <f t="shared" si="9"/>
        <v>0.14000000000000001</v>
      </c>
      <c r="H17" s="1">
        <f t="shared" si="9"/>
        <v>0.14000000000000001</v>
      </c>
      <c r="I17" s="1">
        <f t="shared" si="9"/>
        <v>0.14000000000000001</v>
      </c>
      <c r="J17" s="1">
        <f t="shared" si="9"/>
        <v>0.14000000000000001</v>
      </c>
      <c r="K17" s="1">
        <f t="shared" si="9"/>
        <v>0.14000000000000001</v>
      </c>
      <c r="L17" s="1">
        <f t="shared" si="9"/>
        <v>0.14000000000000001</v>
      </c>
      <c r="M17" s="1">
        <f t="shared" si="9"/>
        <v>0.14000000000000001</v>
      </c>
      <c r="N17" s="1">
        <f t="shared" si="9"/>
        <v>0.14000000000000001</v>
      </c>
      <c r="O17" s="1">
        <f t="shared" si="9"/>
        <v>0.14000000000000001</v>
      </c>
      <c r="P17" s="1">
        <f t="shared" si="9"/>
        <v>0.14000000000000001</v>
      </c>
      <c r="Q17" s="1">
        <f t="shared" si="9"/>
        <v>0.14000000000000001</v>
      </c>
      <c r="R17" s="1">
        <f t="shared" si="9"/>
        <v>0.14000000000000001</v>
      </c>
      <c r="S17" s="1">
        <f t="shared" si="9"/>
        <v>0.14000000000000001</v>
      </c>
      <c r="T17" s="1">
        <f t="shared" si="10"/>
        <v>0.14000000000000001</v>
      </c>
      <c r="U17" s="1">
        <f t="shared" si="10"/>
        <v>0.14000000000000001</v>
      </c>
    </row>
    <row r="18" spans="1:21" x14ac:dyDescent="0.25">
      <c r="A18" t="s">
        <v>9</v>
      </c>
      <c r="B18">
        <f>0.248</f>
        <v>0.248</v>
      </c>
      <c r="C18" s="1">
        <f t="shared" si="11"/>
        <v>0.248</v>
      </c>
      <c r="D18" s="1">
        <f t="shared" si="9"/>
        <v>0.248</v>
      </c>
      <c r="E18" s="1">
        <f t="shared" si="9"/>
        <v>0.248</v>
      </c>
      <c r="F18" s="1">
        <f t="shared" si="9"/>
        <v>0.248</v>
      </c>
      <c r="G18" s="1">
        <f t="shared" si="9"/>
        <v>0.248</v>
      </c>
      <c r="H18" s="1">
        <f t="shared" si="9"/>
        <v>0.248</v>
      </c>
      <c r="I18" s="1">
        <f t="shared" si="9"/>
        <v>0.248</v>
      </c>
      <c r="J18" s="1">
        <f t="shared" si="9"/>
        <v>0.248</v>
      </c>
      <c r="K18" s="1">
        <f t="shared" si="9"/>
        <v>0.248</v>
      </c>
      <c r="L18" s="1">
        <f t="shared" si="9"/>
        <v>0.248</v>
      </c>
      <c r="M18" s="1">
        <f t="shared" si="9"/>
        <v>0.248</v>
      </c>
      <c r="N18" s="1">
        <f t="shared" si="9"/>
        <v>0.248</v>
      </c>
      <c r="O18" s="1">
        <f t="shared" si="9"/>
        <v>0.248</v>
      </c>
      <c r="P18" s="1">
        <f t="shared" si="9"/>
        <v>0.248</v>
      </c>
      <c r="Q18" s="1">
        <f t="shared" si="9"/>
        <v>0.248</v>
      </c>
      <c r="R18" s="1">
        <f t="shared" si="9"/>
        <v>0.248</v>
      </c>
      <c r="S18" s="1">
        <f t="shared" si="9"/>
        <v>0.248</v>
      </c>
      <c r="T18" s="1">
        <f t="shared" si="10"/>
        <v>0.248</v>
      </c>
      <c r="U18" s="1">
        <f t="shared" si="10"/>
        <v>0.248</v>
      </c>
    </row>
    <row r="19" spans="1:21" x14ac:dyDescent="0.25">
      <c r="A19" t="s">
        <v>10</v>
      </c>
      <c r="B19">
        <f>0.06</f>
        <v>0.06</v>
      </c>
      <c r="C19" s="1">
        <f t="shared" si="11"/>
        <v>0.06</v>
      </c>
      <c r="D19" s="1">
        <f t="shared" si="9"/>
        <v>0.06</v>
      </c>
      <c r="E19" s="1">
        <f t="shared" si="9"/>
        <v>0.06</v>
      </c>
      <c r="F19" s="1">
        <f t="shared" si="9"/>
        <v>0.06</v>
      </c>
      <c r="G19" s="1">
        <f t="shared" si="9"/>
        <v>0.06</v>
      </c>
      <c r="H19" s="1">
        <f t="shared" si="9"/>
        <v>0.06</v>
      </c>
      <c r="I19" s="1">
        <f t="shared" si="9"/>
        <v>0.06</v>
      </c>
      <c r="J19" s="1">
        <f t="shared" si="9"/>
        <v>0.06</v>
      </c>
      <c r="K19" s="1">
        <f t="shared" si="9"/>
        <v>0.06</v>
      </c>
      <c r="L19" s="1">
        <f t="shared" si="9"/>
        <v>0.06</v>
      </c>
      <c r="M19" s="1">
        <f t="shared" si="9"/>
        <v>0.06</v>
      </c>
      <c r="N19" s="1">
        <f t="shared" si="9"/>
        <v>0.06</v>
      </c>
      <c r="O19" s="1">
        <f t="shared" si="9"/>
        <v>0.06</v>
      </c>
      <c r="P19" s="1">
        <f t="shared" si="9"/>
        <v>0.06</v>
      </c>
      <c r="Q19" s="1">
        <f t="shared" si="9"/>
        <v>0.06</v>
      </c>
      <c r="R19" s="1">
        <f t="shared" si="9"/>
        <v>0.06</v>
      </c>
      <c r="S19" s="1">
        <f t="shared" si="9"/>
        <v>0.06</v>
      </c>
      <c r="T19" s="1">
        <f t="shared" si="10"/>
        <v>0.06</v>
      </c>
      <c r="U19" s="1">
        <f t="shared" si="10"/>
        <v>0.06</v>
      </c>
    </row>
    <row r="20" spans="1:21" x14ac:dyDescent="0.25">
      <c r="A20" s="35" t="s">
        <v>13</v>
      </c>
      <c r="B20" s="35"/>
    </row>
    <row r="21" spans="1:21" x14ac:dyDescent="0.25">
      <c r="A21" t="s">
        <v>5</v>
      </c>
      <c r="B21">
        <v>0.71</v>
      </c>
      <c r="C21" s="1">
        <f>$B21</f>
        <v>0.71</v>
      </c>
      <c r="D21" s="1">
        <f t="shared" si="9"/>
        <v>0.71</v>
      </c>
      <c r="E21" s="1">
        <f t="shared" si="9"/>
        <v>0.71</v>
      </c>
      <c r="F21" s="1">
        <f t="shared" si="9"/>
        <v>0.71</v>
      </c>
      <c r="G21" s="1">
        <f t="shared" si="9"/>
        <v>0.71</v>
      </c>
      <c r="H21" s="1">
        <f t="shared" si="9"/>
        <v>0.71</v>
      </c>
      <c r="I21" s="1">
        <f t="shared" si="9"/>
        <v>0.71</v>
      </c>
      <c r="J21" s="1">
        <f t="shared" si="9"/>
        <v>0.71</v>
      </c>
      <c r="K21" s="1">
        <f t="shared" si="9"/>
        <v>0.71</v>
      </c>
      <c r="L21" s="1">
        <f t="shared" si="9"/>
        <v>0.71</v>
      </c>
      <c r="M21" s="1">
        <f t="shared" si="9"/>
        <v>0.71</v>
      </c>
      <c r="N21" s="1">
        <f t="shared" si="9"/>
        <v>0.71</v>
      </c>
      <c r="O21" s="1">
        <f t="shared" si="9"/>
        <v>0.71</v>
      </c>
      <c r="P21" s="1">
        <f t="shared" si="9"/>
        <v>0.71</v>
      </c>
      <c r="Q21" s="1">
        <f t="shared" si="9"/>
        <v>0.71</v>
      </c>
      <c r="R21" s="1">
        <f t="shared" si="9"/>
        <v>0.71</v>
      </c>
      <c r="S21" s="1">
        <f t="shared" si="9"/>
        <v>0.71</v>
      </c>
      <c r="T21" s="1">
        <f t="shared" ref="T21:U26" si="12">$B21</f>
        <v>0.71</v>
      </c>
      <c r="U21" s="1">
        <f t="shared" si="12"/>
        <v>0.71</v>
      </c>
    </row>
    <row r="22" spans="1:21" x14ac:dyDescent="0.25">
      <c r="A22" t="s">
        <v>6</v>
      </c>
      <c r="B22">
        <f>0.11</f>
        <v>0.11</v>
      </c>
      <c r="C22" s="1">
        <f t="shared" si="11"/>
        <v>0.11</v>
      </c>
      <c r="D22" s="1">
        <f t="shared" si="9"/>
        <v>0.11</v>
      </c>
      <c r="E22" s="1">
        <f t="shared" si="9"/>
        <v>0.11</v>
      </c>
      <c r="F22" s="1">
        <f t="shared" si="9"/>
        <v>0.11</v>
      </c>
      <c r="G22" s="1">
        <f t="shared" si="9"/>
        <v>0.11</v>
      </c>
      <c r="H22" s="1">
        <f t="shared" si="9"/>
        <v>0.11</v>
      </c>
      <c r="I22" s="1">
        <f t="shared" si="9"/>
        <v>0.11</v>
      </c>
      <c r="J22" s="1">
        <f t="shared" si="9"/>
        <v>0.11</v>
      </c>
      <c r="K22" s="1">
        <f t="shared" si="9"/>
        <v>0.11</v>
      </c>
      <c r="L22" s="1">
        <f t="shared" si="9"/>
        <v>0.11</v>
      </c>
      <c r="M22" s="1">
        <f t="shared" si="9"/>
        <v>0.11</v>
      </c>
      <c r="N22" s="1">
        <f t="shared" si="9"/>
        <v>0.11</v>
      </c>
      <c r="O22" s="1">
        <f t="shared" si="9"/>
        <v>0.11</v>
      </c>
      <c r="P22" s="1">
        <f t="shared" si="9"/>
        <v>0.11</v>
      </c>
      <c r="Q22" s="1">
        <f t="shared" si="9"/>
        <v>0.11</v>
      </c>
      <c r="R22" s="1">
        <f t="shared" si="9"/>
        <v>0.11</v>
      </c>
      <c r="S22" s="1">
        <f t="shared" si="9"/>
        <v>0.11</v>
      </c>
      <c r="T22" s="1">
        <f t="shared" si="12"/>
        <v>0.11</v>
      </c>
      <c r="U22" s="1">
        <f t="shared" si="12"/>
        <v>0.11</v>
      </c>
    </row>
    <row r="23" spans="1:21" x14ac:dyDescent="0.25">
      <c r="A23" t="s">
        <v>7</v>
      </c>
      <c r="B23">
        <f>0.86</f>
        <v>0.86</v>
      </c>
      <c r="C23" s="1">
        <f t="shared" si="11"/>
        <v>0.86</v>
      </c>
      <c r="D23" s="1">
        <f t="shared" si="9"/>
        <v>0.86</v>
      </c>
      <c r="E23" s="1">
        <f t="shared" si="9"/>
        <v>0.86</v>
      </c>
      <c r="F23" s="1">
        <f t="shared" si="9"/>
        <v>0.86</v>
      </c>
      <c r="G23" s="1">
        <f t="shared" si="9"/>
        <v>0.86</v>
      </c>
      <c r="H23" s="1">
        <f t="shared" si="9"/>
        <v>0.86</v>
      </c>
      <c r="I23" s="1">
        <f t="shared" si="9"/>
        <v>0.86</v>
      </c>
      <c r="J23" s="1">
        <f t="shared" si="9"/>
        <v>0.86</v>
      </c>
      <c r="K23" s="1">
        <f t="shared" si="9"/>
        <v>0.86</v>
      </c>
      <c r="L23" s="1">
        <f t="shared" si="9"/>
        <v>0.86</v>
      </c>
      <c r="M23" s="1">
        <f t="shared" si="9"/>
        <v>0.86</v>
      </c>
      <c r="N23" s="1">
        <f t="shared" si="9"/>
        <v>0.86</v>
      </c>
      <c r="O23" s="1">
        <f t="shared" si="9"/>
        <v>0.86</v>
      </c>
      <c r="P23" s="1">
        <f t="shared" si="9"/>
        <v>0.86</v>
      </c>
      <c r="Q23" s="1">
        <f t="shared" si="9"/>
        <v>0.86</v>
      </c>
      <c r="R23" s="1">
        <f t="shared" si="9"/>
        <v>0.86</v>
      </c>
      <c r="S23" s="1">
        <f t="shared" si="9"/>
        <v>0.86</v>
      </c>
      <c r="T23" s="1">
        <f t="shared" si="12"/>
        <v>0.86</v>
      </c>
      <c r="U23" s="1">
        <f t="shared" si="12"/>
        <v>0.86</v>
      </c>
    </row>
    <row r="24" spans="1:21" x14ac:dyDescent="0.25">
      <c r="A24" t="s">
        <v>8</v>
      </c>
      <c r="B24">
        <f>0.8</f>
        <v>0.8</v>
      </c>
      <c r="C24" s="1">
        <f t="shared" si="11"/>
        <v>0.8</v>
      </c>
      <c r="D24" s="1">
        <f t="shared" si="9"/>
        <v>0.8</v>
      </c>
      <c r="E24" s="1">
        <f t="shared" si="9"/>
        <v>0.8</v>
      </c>
      <c r="F24" s="1">
        <f t="shared" si="9"/>
        <v>0.8</v>
      </c>
      <c r="G24" s="1">
        <f t="shared" si="9"/>
        <v>0.8</v>
      </c>
      <c r="H24" s="1">
        <f t="shared" si="9"/>
        <v>0.8</v>
      </c>
      <c r="I24" s="1">
        <f t="shared" si="9"/>
        <v>0.8</v>
      </c>
      <c r="J24" s="1">
        <f t="shared" si="9"/>
        <v>0.8</v>
      </c>
      <c r="K24" s="1">
        <f t="shared" si="9"/>
        <v>0.8</v>
      </c>
      <c r="L24" s="1">
        <f t="shared" si="9"/>
        <v>0.8</v>
      </c>
      <c r="M24" s="1">
        <f t="shared" si="9"/>
        <v>0.8</v>
      </c>
      <c r="N24" s="1">
        <f t="shared" si="9"/>
        <v>0.8</v>
      </c>
      <c r="O24" s="1">
        <f t="shared" si="9"/>
        <v>0.8</v>
      </c>
      <c r="P24" s="1">
        <f t="shared" si="9"/>
        <v>0.8</v>
      </c>
      <c r="Q24" s="1">
        <f t="shared" si="9"/>
        <v>0.8</v>
      </c>
      <c r="R24" s="1">
        <f t="shared" si="9"/>
        <v>0.8</v>
      </c>
      <c r="S24" s="1">
        <f t="shared" si="9"/>
        <v>0.8</v>
      </c>
      <c r="T24" s="1">
        <f t="shared" si="12"/>
        <v>0.8</v>
      </c>
      <c r="U24" s="1">
        <f t="shared" si="12"/>
        <v>0.8</v>
      </c>
    </row>
    <row r="25" spans="1:21" x14ac:dyDescent="0.25">
      <c r="A25" t="s">
        <v>9</v>
      </c>
      <c r="B25">
        <v>0.4</v>
      </c>
      <c r="C25" s="1">
        <f t="shared" si="11"/>
        <v>0.4</v>
      </c>
      <c r="D25" s="1">
        <f t="shared" si="9"/>
        <v>0.4</v>
      </c>
      <c r="E25" s="1">
        <f t="shared" si="9"/>
        <v>0.4</v>
      </c>
      <c r="F25" s="1">
        <f t="shared" si="9"/>
        <v>0.4</v>
      </c>
      <c r="G25" s="1">
        <f t="shared" si="9"/>
        <v>0.4</v>
      </c>
      <c r="H25" s="1">
        <f t="shared" si="9"/>
        <v>0.4</v>
      </c>
      <c r="I25" s="1">
        <f t="shared" si="9"/>
        <v>0.4</v>
      </c>
      <c r="J25" s="1">
        <f t="shared" si="9"/>
        <v>0.4</v>
      </c>
      <c r="K25" s="1">
        <f t="shared" si="9"/>
        <v>0.4</v>
      </c>
      <c r="L25" s="1">
        <f t="shared" si="9"/>
        <v>0.4</v>
      </c>
      <c r="M25" s="1">
        <f t="shared" si="9"/>
        <v>0.4</v>
      </c>
      <c r="N25" s="1">
        <f t="shared" si="9"/>
        <v>0.4</v>
      </c>
      <c r="O25" s="1">
        <f t="shared" si="9"/>
        <v>0.4</v>
      </c>
      <c r="P25" s="1">
        <f t="shared" si="9"/>
        <v>0.4</v>
      </c>
      <c r="Q25" s="1">
        <f t="shared" si="9"/>
        <v>0.4</v>
      </c>
      <c r="R25" s="1">
        <f t="shared" si="9"/>
        <v>0.4</v>
      </c>
      <c r="S25" s="1">
        <f t="shared" si="9"/>
        <v>0.4</v>
      </c>
      <c r="T25" s="1">
        <f t="shared" si="12"/>
        <v>0.4</v>
      </c>
      <c r="U25" s="1">
        <f t="shared" si="12"/>
        <v>0.4</v>
      </c>
    </row>
    <row r="26" spans="1:21" x14ac:dyDescent="0.25">
      <c r="A26" t="s">
        <v>10</v>
      </c>
      <c r="B26">
        <f>0.88</f>
        <v>0.88</v>
      </c>
      <c r="C26" s="1">
        <f t="shared" si="11"/>
        <v>0.88</v>
      </c>
      <c r="D26" s="1">
        <f t="shared" si="9"/>
        <v>0.88</v>
      </c>
      <c r="E26" s="1">
        <f t="shared" si="9"/>
        <v>0.88</v>
      </c>
      <c r="F26" s="1">
        <f t="shared" si="9"/>
        <v>0.88</v>
      </c>
      <c r="G26" s="1">
        <f t="shared" si="9"/>
        <v>0.88</v>
      </c>
      <c r="H26" s="1">
        <f t="shared" si="9"/>
        <v>0.88</v>
      </c>
      <c r="I26" s="1">
        <f t="shared" si="9"/>
        <v>0.88</v>
      </c>
      <c r="J26" s="1">
        <f t="shared" si="9"/>
        <v>0.88</v>
      </c>
      <c r="K26" s="1">
        <f t="shared" si="9"/>
        <v>0.88</v>
      </c>
      <c r="L26" s="1">
        <f t="shared" si="9"/>
        <v>0.88</v>
      </c>
      <c r="M26" s="1">
        <f t="shared" si="9"/>
        <v>0.88</v>
      </c>
      <c r="N26" s="1">
        <f t="shared" si="9"/>
        <v>0.88</v>
      </c>
      <c r="O26" s="1">
        <f t="shared" si="9"/>
        <v>0.88</v>
      </c>
      <c r="P26" s="1">
        <f t="shared" si="9"/>
        <v>0.88</v>
      </c>
      <c r="Q26" s="1">
        <f t="shared" si="9"/>
        <v>0.88</v>
      </c>
      <c r="R26" s="1">
        <f t="shared" si="9"/>
        <v>0.88</v>
      </c>
      <c r="S26" s="1">
        <f t="shared" si="9"/>
        <v>0.88</v>
      </c>
      <c r="T26" s="1">
        <f t="shared" si="12"/>
        <v>0.88</v>
      </c>
      <c r="U26" s="1">
        <f t="shared" si="12"/>
        <v>0.88</v>
      </c>
    </row>
    <row r="27" spans="1:21" x14ac:dyDescent="0.25">
      <c r="A27" s="35" t="s">
        <v>14</v>
      </c>
      <c r="B27" s="35"/>
      <c r="N27" s="5" t="s">
        <v>18</v>
      </c>
    </row>
    <row r="28" spans="1:21" x14ac:dyDescent="0.25">
      <c r="A28" t="s">
        <v>5</v>
      </c>
      <c r="B28" t="s">
        <v>17</v>
      </c>
      <c r="C28" s="4">
        <f>(C4*C7*C14)/Resumen!$B2</f>
        <v>1214.4540437639116</v>
      </c>
      <c r="D28" s="4">
        <f>(D4*D7*D14)/Resumen!$B2</f>
        <v>1083.8940755702254</v>
      </c>
      <c r="E28" s="4">
        <f>(E4*E7*E14)/Resumen!$B2</f>
        <v>891.30132660526795</v>
      </c>
      <c r="F28" s="4">
        <f>(F4*F7*F14)/Resumen!$B2</f>
        <v>913.69583229886769</v>
      </c>
      <c r="G28" s="4">
        <f>(G4*G7*G14)/Resumen!$B2</f>
        <v>1037.2127284519167</v>
      </c>
      <c r="H28" s="4">
        <f>(H4*H7*H14)/Resumen!$B2</f>
        <v>1074.9362732927855</v>
      </c>
      <c r="I28" s="4">
        <f>(I4*I7*I14)/Resumen!$B2</f>
        <v>815.16000724702906</v>
      </c>
      <c r="J28" s="4">
        <f>(J4*J7*J14)/Resumen!$B2</f>
        <v>933.10440389998757</v>
      </c>
      <c r="K28" s="4">
        <f>(K4*K7*K14)/Resumen!$B2</f>
        <v>933.10440389998757</v>
      </c>
      <c r="L28" s="4">
        <f>(L4*L7*L14)/Resumen!$B2</f>
        <v>933.10440389998587</v>
      </c>
      <c r="M28" s="4">
        <f>(M4*M7*M14)/Resumen!$B2</f>
        <v>933.10440389998587</v>
      </c>
      <c r="N28" s="4">
        <f>(N4*N7*N14)/Resumen!$B2</f>
        <v>933.10440389998587</v>
      </c>
      <c r="O28" s="4">
        <f>(O4*O7*O14)/Resumen!$B2</f>
        <v>933.10440389998587</v>
      </c>
      <c r="P28" s="4">
        <f>(P4*P7*P14)/Resumen!$B2</f>
        <v>933.10440389998587</v>
      </c>
      <c r="Q28" s="4">
        <f>(Q4*Q7*Q14)/Resumen!$B2</f>
        <v>933.10440389998587</v>
      </c>
      <c r="R28" s="4">
        <f>(R4*R7*R14)/Resumen!$B2</f>
        <v>815.16000724702906</v>
      </c>
      <c r="S28" s="4">
        <f>(S4*S7*S14)/Resumen!$B2</f>
        <v>564.55429128280161</v>
      </c>
      <c r="T28" s="4">
        <f>(T4*T7*T14)/Resumen!$B2</f>
        <v>477.28290259484356</v>
      </c>
      <c r="U28" s="4">
        <f>(U4*U7*U14)/Resumen!$B2</f>
        <v>421.92368452026511</v>
      </c>
    </row>
    <row r="29" spans="1:21" x14ac:dyDescent="0.25">
      <c r="A29" t="s">
        <v>6</v>
      </c>
      <c r="B29" t="s">
        <v>2</v>
      </c>
      <c r="C29" s="4">
        <f>C4*C8*C15</f>
        <v>33.686400000000006</v>
      </c>
      <c r="D29" s="4">
        <f t="shared" ref="D29:U29" si="13">D4*D8*D15</f>
        <v>57.6</v>
      </c>
      <c r="E29" s="4">
        <f t="shared" si="13"/>
        <v>60.800000000000004</v>
      </c>
      <c r="F29" s="4">
        <f t="shared" si="13"/>
        <v>55.68</v>
      </c>
      <c r="G29" s="4">
        <f t="shared" si="13"/>
        <v>34.6464</v>
      </c>
      <c r="H29" s="4">
        <f t="shared" si="13"/>
        <v>37.76</v>
      </c>
      <c r="I29" s="4">
        <f t="shared" si="13"/>
        <v>23.68</v>
      </c>
      <c r="J29" s="4">
        <f t="shared" si="13"/>
        <v>37.831111111111106</v>
      </c>
      <c r="K29" s="4">
        <f t="shared" si="13"/>
        <v>37.831111111111106</v>
      </c>
      <c r="L29" s="4">
        <f t="shared" si="13"/>
        <v>37.831111111111106</v>
      </c>
      <c r="M29" s="4">
        <f t="shared" si="13"/>
        <v>37.831111111111106</v>
      </c>
      <c r="N29" s="4">
        <f t="shared" si="13"/>
        <v>37.831111111111106</v>
      </c>
      <c r="O29" s="4">
        <f t="shared" si="13"/>
        <v>37.831111111111106</v>
      </c>
      <c r="P29" s="4">
        <f t="shared" si="13"/>
        <v>37.831111111111106</v>
      </c>
      <c r="Q29" s="4">
        <f t="shared" si="13"/>
        <v>37.831111111111106</v>
      </c>
      <c r="R29" s="4">
        <f t="shared" si="13"/>
        <v>23.68</v>
      </c>
      <c r="S29" s="4">
        <f t="shared" si="13"/>
        <v>16.5152</v>
      </c>
      <c r="T29" s="4">
        <f t="shared" si="13"/>
        <v>11.16</v>
      </c>
      <c r="U29" s="4">
        <f t="shared" si="13"/>
        <v>7.9976000000000003</v>
      </c>
    </row>
    <row r="30" spans="1:21" x14ac:dyDescent="0.25">
      <c r="A30" t="s">
        <v>7</v>
      </c>
      <c r="B30" t="s">
        <v>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1" x14ac:dyDescent="0.25">
      <c r="A31" t="s">
        <v>8</v>
      </c>
      <c r="B31" t="s">
        <v>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21" x14ac:dyDescent="0.25">
      <c r="A32" t="s">
        <v>9</v>
      </c>
      <c r="B32" t="s">
        <v>17</v>
      </c>
      <c r="C32" s="4">
        <f>(C4*C11*C18)/Resumen!$B2</f>
        <v>13.779687712249348</v>
      </c>
      <c r="D32" s="4">
        <f>(D4*D11*D18)/Resumen!$B2</f>
        <v>15.427326144479792</v>
      </c>
      <c r="E32" s="4">
        <f>(E4*E11*E18)/Resumen!$B2</f>
        <v>12.958953961363026</v>
      </c>
      <c r="F32" s="4">
        <f>(F4*F11*F18)/Resumen!$B2</f>
        <v>14.193140052921407</v>
      </c>
      <c r="G32" s="4">
        <f>(G4*G11*G18)/Resumen!$B2</f>
        <v>14.228622903053711</v>
      </c>
      <c r="H32" s="4">
        <f>(H4*H11*H18)/Resumen!$B2</f>
        <v>13.57604700714222</v>
      </c>
      <c r="I32" s="4">
        <f>(I4*I11*I18)/Resumen!$B2</f>
        <v>9.8734887324670666</v>
      </c>
      <c r="J32" s="4">
        <f>(J4*J11*J18)/Resumen!$B2</f>
        <v>11.999031445706503</v>
      </c>
      <c r="K32" s="4">
        <f>(K4*K11*K18)/Resumen!$B2</f>
        <v>11.999031445706503</v>
      </c>
      <c r="L32" s="4">
        <f>(L4*L11*L18)/Resumen!$B2</f>
        <v>11.999031445706503</v>
      </c>
      <c r="M32" s="4">
        <f>(M4*M11*M18)/Resumen!$B2</f>
        <v>11.999031445706503</v>
      </c>
      <c r="N32" s="4">
        <f>(N4*N11*N18)/Resumen!$B2</f>
        <v>11.999031445706503</v>
      </c>
      <c r="O32" s="4">
        <f>(O4*O11*O18)/Resumen!$B2</f>
        <v>11.999031445706503</v>
      </c>
      <c r="P32" s="4">
        <f>(P4*P11*P18)/Resumen!$B2</f>
        <v>11.999031445706503</v>
      </c>
      <c r="Q32" s="4">
        <f>(Q4*Q11*Q18)/Resumen!$B2</f>
        <v>11.999031445706503</v>
      </c>
      <c r="R32" s="4">
        <f>(R4*R11*R18)/Resumen!$B2</f>
        <v>9.8734887324670666</v>
      </c>
      <c r="S32" s="4">
        <f>(S4*S11*S18)/Resumen!$B2</f>
        <v>6.1246484793584779</v>
      </c>
      <c r="T32" s="4">
        <f>(T4*T11*T18)/Resumen!$B2</f>
        <v>4.1846622166901435</v>
      </c>
      <c r="U32" s="4">
        <f>(U4*U11*U18)/Resumen!$B2</f>
        <v>3.5590841415314882</v>
      </c>
    </row>
    <row r="33" spans="1:21" x14ac:dyDescent="0.25">
      <c r="A33" t="s">
        <v>10</v>
      </c>
      <c r="B33" t="s">
        <v>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21" x14ac:dyDescent="0.25">
      <c r="A34" s="35" t="s">
        <v>15</v>
      </c>
      <c r="B34" s="3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6" t="s">
        <v>18</v>
      </c>
    </row>
    <row r="35" spans="1:21" x14ac:dyDescent="0.25">
      <c r="A35" t="s">
        <v>5</v>
      </c>
      <c r="B35" t="s">
        <v>17</v>
      </c>
      <c r="C35" s="4">
        <f>(C4*C7*C21)/Resumen!$B2</f>
        <v>4790.3465059576511</v>
      </c>
      <c r="D35" s="4">
        <f>(D4*D7*D21)/Resumen!$B2</f>
        <v>4275.3599647492229</v>
      </c>
      <c r="E35" s="4">
        <f>(E4*E7*E21)/Resumen!$B2</f>
        <v>3515.6885660541125</v>
      </c>
      <c r="F35" s="4">
        <f>(F4*F7*F21)/Resumen!$B2</f>
        <v>3604.0224496233113</v>
      </c>
      <c r="G35" s="4">
        <f>(G4*G7*G21)/Resumen!$B2</f>
        <v>4091.2279844492273</v>
      </c>
      <c r="H35" s="4">
        <f>(H4*H7*H21)/Resumen!$B2</f>
        <v>4240.0264113215426</v>
      </c>
      <c r="I35" s="4">
        <f>(I4*I7*I21)/Resumen!$B2</f>
        <v>3215.3533619188365</v>
      </c>
      <c r="J35" s="4">
        <f>(J4*J7*J21)/Resumen!$B2</f>
        <v>3680.5784820499507</v>
      </c>
      <c r="K35" s="4">
        <f>(K4*K7*K21)/Resumen!$B2</f>
        <v>3680.5784820499507</v>
      </c>
      <c r="L35" s="4">
        <f>(L4*L7*L21)/Resumen!$B2</f>
        <v>3680.5784820499443</v>
      </c>
      <c r="M35" s="4">
        <f>(M4*M7*M21)/Resumen!$B2</f>
        <v>3680.5784820499443</v>
      </c>
      <c r="N35" s="4">
        <f>(N4*N7*N21)/Resumen!$B2</f>
        <v>3680.5784820499443</v>
      </c>
      <c r="O35" s="4">
        <f>(O4*O7*O21)/Resumen!$B2</f>
        <v>3680.5784820499443</v>
      </c>
      <c r="P35" s="4">
        <f>(P4*P7*P21)/Resumen!$B2</f>
        <v>3680.5784820499443</v>
      </c>
      <c r="Q35" s="4">
        <f>(Q4*Q7*Q21)/Resumen!$B2</f>
        <v>3680.5784820499443</v>
      </c>
      <c r="R35" s="4">
        <f>(R4*R7*R21)/Resumen!$B2</f>
        <v>3215.3533619188365</v>
      </c>
      <c r="S35" s="4">
        <f>(S4*S7*S21)/Resumen!$B2</f>
        <v>2226.8530378377172</v>
      </c>
      <c r="T35" s="4">
        <f>(T4*T7*T21)/Resumen!$B2</f>
        <v>1882.6158935685496</v>
      </c>
      <c r="U35" s="4">
        <f>(U4*U7*U21)/Resumen!$B2</f>
        <v>1664.25453338549</v>
      </c>
    </row>
    <row r="36" spans="1:21" x14ac:dyDescent="0.25">
      <c r="A36" t="s">
        <v>6</v>
      </c>
      <c r="B36" t="s">
        <v>2</v>
      </c>
      <c r="C36" s="4">
        <f>C4*C8*C22</f>
        <v>4.6318800000000007</v>
      </c>
      <c r="D36" s="4">
        <f t="shared" ref="D36:U36" si="14">D4*D8*D22</f>
        <v>7.92</v>
      </c>
      <c r="E36" s="4">
        <f t="shared" si="14"/>
        <v>8.36</v>
      </c>
      <c r="F36" s="4">
        <f t="shared" si="14"/>
        <v>7.6559999999999997</v>
      </c>
      <c r="G36" s="4">
        <f t="shared" si="14"/>
        <v>4.7638800000000003</v>
      </c>
      <c r="H36" s="4">
        <f t="shared" si="14"/>
        <v>5.1919999999999993</v>
      </c>
      <c r="I36" s="4">
        <f t="shared" si="14"/>
        <v>3.2559999999999998</v>
      </c>
      <c r="J36" s="4">
        <f t="shared" si="14"/>
        <v>5.2017777777777763</v>
      </c>
      <c r="K36" s="4">
        <f t="shared" si="14"/>
        <v>5.2017777777777763</v>
      </c>
      <c r="L36" s="4">
        <f t="shared" si="14"/>
        <v>5.2017777777777763</v>
      </c>
      <c r="M36" s="4">
        <f t="shared" si="14"/>
        <v>5.2017777777777763</v>
      </c>
      <c r="N36" s="4">
        <f t="shared" si="14"/>
        <v>5.2017777777777763</v>
      </c>
      <c r="O36" s="4">
        <f t="shared" si="14"/>
        <v>5.2017777777777763</v>
      </c>
      <c r="P36" s="4">
        <f t="shared" si="14"/>
        <v>5.2017777777777763</v>
      </c>
      <c r="Q36" s="4">
        <f t="shared" si="14"/>
        <v>5.2017777777777763</v>
      </c>
      <c r="R36" s="4">
        <f t="shared" si="14"/>
        <v>3.2559999999999998</v>
      </c>
      <c r="S36" s="4">
        <f t="shared" si="14"/>
        <v>2.2708399999999997</v>
      </c>
      <c r="T36" s="4">
        <f t="shared" si="14"/>
        <v>1.5345</v>
      </c>
      <c r="U36" s="4">
        <f t="shared" si="14"/>
        <v>1.0996699999999999</v>
      </c>
    </row>
    <row r="37" spans="1:21" x14ac:dyDescent="0.25">
      <c r="A37" t="s">
        <v>7</v>
      </c>
      <c r="B37" t="s">
        <v>2</v>
      </c>
      <c r="C37" s="4">
        <f>C4*C9*C23</f>
        <v>24.141919999999999</v>
      </c>
      <c r="D37" s="4">
        <f t="shared" ref="D37:U37" si="15">D4*D9*D23</f>
        <v>37.152000000000001</v>
      </c>
      <c r="E37" s="4">
        <f t="shared" si="15"/>
        <v>39.216000000000001</v>
      </c>
      <c r="F37" s="4">
        <f t="shared" si="15"/>
        <v>34.4</v>
      </c>
      <c r="G37" s="4">
        <f t="shared" si="15"/>
        <v>22.760760000000001</v>
      </c>
      <c r="H37" s="4">
        <f t="shared" si="15"/>
        <v>25.456</v>
      </c>
      <c r="I37" s="4">
        <f t="shared" si="15"/>
        <v>17.888000000000002</v>
      </c>
      <c r="J37" s="4">
        <f t="shared" si="15"/>
        <v>25.456000000000003</v>
      </c>
      <c r="K37" s="4">
        <f t="shared" si="15"/>
        <v>25.456000000000003</v>
      </c>
      <c r="L37" s="4">
        <f t="shared" si="15"/>
        <v>25.456000000000003</v>
      </c>
      <c r="M37" s="4">
        <f t="shared" si="15"/>
        <v>25.456000000000003</v>
      </c>
      <c r="N37" s="4">
        <f t="shared" si="15"/>
        <v>25.456000000000003</v>
      </c>
      <c r="O37" s="4">
        <f t="shared" si="15"/>
        <v>25.456000000000003</v>
      </c>
      <c r="P37" s="4">
        <f t="shared" si="15"/>
        <v>25.456000000000003</v>
      </c>
      <c r="Q37" s="4">
        <f t="shared" si="15"/>
        <v>25.456000000000003</v>
      </c>
      <c r="R37" s="4">
        <f t="shared" si="15"/>
        <v>17.888000000000002</v>
      </c>
      <c r="S37" s="4">
        <f t="shared" si="15"/>
        <v>12.97396</v>
      </c>
      <c r="T37" s="4">
        <f t="shared" si="15"/>
        <v>8.6644999999999985</v>
      </c>
      <c r="U37" s="4">
        <f t="shared" si="15"/>
        <v>6.6134000000000004</v>
      </c>
    </row>
    <row r="38" spans="1:21" x14ac:dyDescent="0.25">
      <c r="A38" t="s">
        <v>8</v>
      </c>
      <c r="B38" t="s">
        <v>2</v>
      </c>
      <c r="C38" s="4">
        <f>C4*C10*C24</f>
        <v>3.5728000000000004</v>
      </c>
      <c r="D38" s="4">
        <f t="shared" ref="D38:U38" si="16">D4*D10*D24</f>
        <v>6.4</v>
      </c>
      <c r="E38" s="4">
        <f t="shared" si="16"/>
        <v>7.0399999999999991</v>
      </c>
      <c r="F38" s="4">
        <f t="shared" si="16"/>
        <v>5.76</v>
      </c>
      <c r="G38" s="4">
        <f t="shared" si="16"/>
        <v>3.8496000000000006</v>
      </c>
      <c r="H38" s="4">
        <f t="shared" si="16"/>
        <v>3.2</v>
      </c>
      <c r="I38" s="4">
        <f t="shared" si="16"/>
        <v>2.5600000000000005</v>
      </c>
      <c r="J38" s="4">
        <f t="shared" si="16"/>
        <v>4.1244444444444444</v>
      </c>
      <c r="K38" s="4">
        <f t="shared" si="16"/>
        <v>4.1244444444444444</v>
      </c>
      <c r="L38" s="4">
        <f t="shared" si="16"/>
        <v>4.1244444444444444</v>
      </c>
      <c r="M38" s="4">
        <f t="shared" si="16"/>
        <v>4.1244444444444444</v>
      </c>
      <c r="N38" s="4">
        <f t="shared" si="16"/>
        <v>4.1244444444444444</v>
      </c>
      <c r="O38" s="4">
        <f t="shared" si="16"/>
        <v>4.1244444444444444</v>
      </c>
      <c r="P38" s="4">
        <f t="shared" si="16"/>
        <v>4.1244444444444444</v>
      </c>
      <c r="Q38" s="4">
        <f t="shared" si="16"/>
        <v>4.1244444444444444</v>
      </c>
      <c r="R38" s="4">
        <f t="shared" si="16"/>
        <v>2.5600000000000005</v>
      </c>
      <c r="S38" s="4">
        <f t="shared" si="16"/>
        <v>1.9056000000000002</v>
      </c>
      <c r="T38" s="4">
        <f t="shared" si="16"/>
        <v>1.8600000000000003</v>
      </c>
      <c r="U38" s="4">
        <f t="shared" si="16"/>
        <v>1.8456000000000001</v>
      </c>
    </row>
    <row r="39" spans="1:21" x14ac:dyDescent="0.25">
      <c r="A39" t="s">
        <v>9</v>
      </c>
      <c r="B39" t="s">
        <v>17</v>
      </c>
      <c r="C39" s="4">
        <f>(C4*C11*C25)/Resumen!$B2</f>
        <v>22.2253027616925</v>
      </c>
      <c r="D39" s="4">
        <f>(D4*D11*D25)/Resumen!$B2</f>
        <v>24.882784103999665</v>
      </c>
      <c r="E39" s="4">
        <f>(E4*E11*E25)/Resumen!$B2</f>
        <v>20.901538647359718</v>
      </c>
      <c r="F39" s="4">
        <f>(F4*F11*F25)/Resumen!$B2</f>
        <v>22.892161375679692</v>
      </c>
      <c r="G39" s="4">
        <f>(G4*G11*G25)/Resumen!$B2</f>
        <v>22.949391779118891</v>
      </c>
      <c r="H39" s="4">
        <f>(H4*H11*H25)/Resumen!$B2</f>
        <v>21.89685001151971</v>
      </c>
      <c r="I39" s="4">
        <f>(I4*I11*I25)/Resumen!$B2</f>
        <v>15.924981826559785</v>
      </c>
      <c r="J39" s="4">
        <f>(J4*J11*J25)/Resumen!$B2</f>
        <v>19.353276525333072</v>
      </c>
      <c r="K39" s="4">
        <f>(K4*K11*K25)/Resumen!$B2</f>
        <v>19.353276525333072</v>
      </c>
      <c r="L39" s="4">
        <f>(L4*L11*L25)/Resumen!$B2</f>
        <v>19.353276525333072</v>
      </c>
      <c r="M39" s="4">
        <f>(M4*M11*M25)/Resumen!$B2</f>
        <v>19.353276525333072</v>
      </c>
      <c r="N39" s="4">
        <f>(N4*N11*N25)/Resumen!$B2</f>
        <v>19.353276525333072</v>
      </c>
      <c r="O39" s="4">
        <f>(O4*O11*O25)/Resumen!$B2</f>
        <v>19.353276525333072</v>
      </c>
      <c r="P39" s="4">
        <f>(P4*P11*P25)/Resumen!$B2</f>
        <v>19.353276525333072</v>
      </c>
      <c r="Q39" s="4">
        <f>(Q4*Q11*Q25)/Resumen!$B2</f>
        <v>19.353276525333072</v>
      </c>
      <c r="R39" s="4">
        <f>(R4*R11*R25)/Resumen!$B2</f>
        <v>15.924981826559785</v>
      </c>
      <c r="S39" s="4">
        <f>(S4*S11*S25)/Resumen!$B2</f>
        <v>9.8784652892878668</v>
      </c>
      <c r="T39" s="4">
        <f>(T4*T11*T25)/Resumen!$B2</f>
        <v>6.7494551882099092</v>
      </c>
      <c r="U39" s="4">
        <f>(U4*U11*U25)/Resumen!$B2</f>
        <v>5.7404582927927228</v>
      </c>
    </row>
    <row r="40" spans="1:21" x14ac:dyDescent="0.25">
      <c r="A40" t="s">
        <v>10</v>
      </c>
      <c r="B40" t="s">
        <v>2</v>
      </c>
      <c r="C40" s="4">
        <f>C4*C12*C26</f>
        <v>1.1228800000000001</v>
      </c>
      <c r="D40" s="4">
        <f t="shared" ref="D40:U40" si="17">D4*D12*D26</f>
        <v>2.1120000000000001</v>
      </c>
      <c r="E40" s="4">
        <f t="shared" si="17"/>
        <v>2.1120000000000001</v>
      </c>
      <c r="F40" s="4">
        <f t="shared" si="17"/>
        <v>2.1120000000000001</v>
      </c>
      <c r="G40" s="4">
        <f t="shared" si="17"/>
        <v>1.4115200000000001</v>
      </c>
      <c r="H40" s="4">
        <f t="shared" si="17"/>
        <v>1.4080000000000001</v>
      </c>
      <c r="I40" s="4">
        <f t="shared" si="17"/>
        <v>1.4080000000000001</v>
      </c>
      <c r="J40" s="4">
        <f t="shared" si="17"/>
        <v>1.6426666666666672</v>
      </c>
      <c r="K40" s="4">
        <f t="shared" si="17"/>
        <v>1.6426666666666672</v>
      </c>
      <c r="L40" s="4">
        <f t="shared" si="17"/>
        <v>1.6426666666666672</v>
      </c>
      <c r="M40" s="4">
        <f t="shared" si="17"/>
        <v>1.6426666666666672</v>
      </c>
      <c r="N40" s="4">
        <f t="shared" si="17"/>
        <v>1.6426666666666672</v>
      </c>
      <c r="O40" s="4">
        <f t="shared" si="17"/>
        <v>1.6426666666666672</v>
      </c>
      <c r="P40" s="4">
        <f t="shared" si="17"/>
        <v>1.6426666666666672</v>
      </c>
      <c r="Q40" s="4">
        <f t="shared" si="17"/>
        <v>1.6426666666666672</v>
      </c>
      <c r="R40" s="4">
        <f t="shared" si="17"/>
        <v>1.4080000000000001</v>
      </c>
      <c r="S40" s="4">
        <f t="shared" si="17"/>
        <v>1.39744</v>
      </c>
      <c r="T40" s="4">
        <f t="shared" si="17"/>
        <v>1.3640000000000001</v>
      </c>
      <c r="U40" s="4">
        <f t="shared" si="17"/>
        <v>1.35344</v>
      </c>
    </row>
    <row r="41" spans="1:21" x14ac:dyDescent="0.25">
      <c r="A41" s="35" t="s">
        <v>19</v>
      </c>
      <c r="B41" s="35"/>
    </row>
    <row r="42" spans="1:21" x14ac:dyDescent="0.25">
      <c r="A42" t="s">
        <v>5</v>
      </c>
      <c r="B42" s="2">
        <v>0.7</v>
      </c>
      <c r="C42" s="4">
        <f t="shared" ref="C42:R43" si="18">C28*$B42</f>
        <v>850.11783063473808</v>
      </c>
      <c r="D42" s="4">
        <f t="shared" si="18"/>
        <v>758.72585289915776</v>
      </c>
      <c r="E42" s="4">
        <f t="shared" si="18"/>
        <v>623.91092862368748</v>
      </c>
      <c r="F42" s="4">
        <f t="shared" si="18"/>
        <v>639.5870826092073</v>
      </c>
      <c r="G42" s="4">
        <f t="shared" si="18"/>
        <v>726.0489099163417</v>
      </c>
      <c r="H42" s="4">
        <f t="shared" si="18"/>
        <v>752.45539130494979</v>
      </c>
      <c r="I42" s="4">
        <f t="shared" si="18"/>
        <v>570.61200507292028</v>
      </c>
      <c r="J42" s="4">
        <f t="shared" si="18"/>
        <v>653.17308272999128</v>
      </c>
      <c r="K42" s="4">
        <f t="shared" si="18"/>
        <v>653.17308272999128</v>
      </c>
      <c r="L42" s="4">
        <f t="shared" si="18"/>
        <v>653.17308272999003</v>
      </c>
      <c r="M42" s="4">
        <f t="shared" si="18"/>
        <v>653.17308272999003</v>
      </c>
      <c r="N42" s="4">
        <f t="shared" si="18"/>
        <v>653.17308272999003</v>
      </c>
      <c r="O42" s="4">
        <f t="shared" si="18"/>
        <v>653.17308272999003</v>
      </c>
      <c r="P42" s="4">
        <f t="shared" si="18"/>
        <v>653.17308272999003</v>
      </c>
      <c r="Q42" s="4">
        <f t="shared" si="18"/>
        <v>653.17308272999003</v>
      </c>
      <c r="R42" s="4">
        <f t="shared" si="18"/>
        <v>570.61200507292028</v>
      </c>
      <c r="S42" s="4">
        <f t="shared" ref="S42:U43" si="19">S28*$B42</f>
        <v>395.1880038979611</v>
      </c>
      <c r="T42" s="4">
        <f t="shared" si="19"/>
        <v>334.09803181639046</v>
      </c>
      <c r="U42" s="4">
        <f t="shared" si="19"/>
        <v>295.34657916418558</v>
      </c>
    </row>
    <row r="43" spans="1:21" x14ac:dyDescent="0.25">
      <c r="A43" t="s">
        <v>6</v>
      </c>
      <c r="B43" s="2">
        <v>0.85</v>
      </c>
      <c r="C43" s="4">
        <f t="shared" si="18"/>
        <v>28.633440000000004</v>
      </c>
      <c r="D43" s="4">
        <f t="shared" si="18"/>
        <v>48.96</v>
      </c>
      <c r="E43" s="4">
        <f t="shared" si="18"/>
        <v>51.68</v>
      </c>
      <c r="F43" s="4">
        <f t="shared" si="18"/>
        <v>47.327999999999996</v>
      </c>
      <c r="G43" s="4">
        <f t="shared" si="18"/>
        <v>29.449439999999999</v>
      </c>
      <c r="H43" s="4">
        <f t="shared" si="18"/>
        <v>32.095999999999997</v>
      </c>
      <c r="I43" s="4">
        <f t="shared" si="18"/>
        <v>20.128</v>
      </c>
      <c r="J43" s="4">
        <f t="shared" si="18"/>
        <v>32.156444444444439</v>
      </c>
      <c r="K43" s="4">
        <f t="shared" si="18"/>
        <v>32.156444444444439</v>
      </c>
      <c r="L43" s="4">
        <f t="shared" si="18"/>
        <v>32.156444444444439</v>
      </c>
      <c r="M43" s="4">
        <f t="shared" si="18"/>
        <v>32.156444444444439</v>
      </c>
      <c r="N43" s="4">
        <f t="shared" si="18"/>
        <v>32.156444444444439</v>
      </c>
      <c r="O43" s="4">
        <f t="shared" si="18"/>
        <v>32.156444444444439</v>
      </c>
      <c r="P43" s="4">
        <f t="shared" si="18"/>
        <v>32.156444444444439</v>
      </c>
      <c r="Q43" s="4">
        <f t="shared" si="18"/>
        <v>32.156444444444439</v>
      </c>
      <c r="R43" s="4">
        <f t="shared" si="18"/>
        <v>20.128</v>
      </c>
      <c r="S43" s="4">
        <f t="shared" si="19"/>
        <v>14.03792</v>
      </c>
      <c r="T43" s="4">
        <f t="shared" si="19"/>
        <v>9.4860000000000007</v>
      </c>
      <c r="U43" s="4">
        <f t="shared" si="19"/>
        <v>6.7979599999999998</v>
      </c>
    </row>
    <row r="44" spans="1:21" x14ac:dyDescent="0.25">
      <c r="A44" t="s">
        <v>7</v>
      </c>
    </row>
    <row r="45" spans="1:21" x14ac:dyDescent="0.25">
      <c r="A45" t="s">
        <v>8</v>
      </c>
    </row>
    <row r="46" spans="1:21" x14ac:dyDescent="0.25">
      <c r="A46" t="s">
        <v>9</v>
      </c>
      <c r="B46" s="2">
        <v>0.55000000000000004</v>
      </c>
      <c r="C46" s="4">
        <f t="shared" ref="C46:U46" si="20">C32*$B46</f>
        <v>7.578828241737142</v>
      </c>
      <c r="D46" s="4">
        <f t="shared" si="20"/>
        <v>8.4850293794638869</v>
      </c>
      <c r="E46" s="4">
        <f t="shared" si="20"/>
        <v>7.1274246787496649</v>
      </c>
      <c r="F46" s="4">
        <f t="shared" si="20"/>
        <v>7.8062270291067746</v>
      </c>
      <c r="G46" s="4">
        <f t="shared" si="20"/>
        <v>7.8257425966795422</v>
      </c>
      <c r="H46" s="4">
        <f t="shared" si="20"/>
        <v>7.4668258539282215</v>
      </c>
      <c r="I46" s="4">
        <f t="shared" si="20"/>
        <v>5.4304188028568872</v>
      </c>
      <c r="J46" s="4">
        <f t="shared" si="20"/>
        <v>6.5994672951385773</v>
      </c>
      <c r="K46" s="4">
        <f t="shared" si="20"/>
        <v>6.5994672951385773</v>
      </c>
      <c r="L46" s="4">
        <f t="shared" si="20"/>
        <v>6.5994672951385773</v>
      </c>
      <c r="M46" s="4">
        <f t="shared" si="20"/>
        <v>6.5994672951385773</v>
      </c>
      <c r="N46" s="4">
        <f t="shared" si="20"/>
        <v>6.5994672951385773</v>
      </c>
      <c r="O46" s="4">
        <f t="shared" si="20"/>
        <v>6.5994672951385773</v>
      </c>
      <c r="P46" s="4">
        <f t="shared" si="20"/>
        <v>6.5994672951385773</v>
      </c>
      <c r="Q46" s="4">
        <f t="shared" si="20"/>
        <v>6.5994672951385773</v>
      </c>
      <c r="R46" s="4">
        <f t="shared" si="20"/>
        <v>5.4304188028568872</v>
      </c>
      <c r="S46" s="4">
        <f t="shared" si="20"/>
        <v>3.3685566636471633</v>
      </c>
      <c r="T46" s="4">
        <f t="shared" si="20"/>
        <v>2.3015642191795793</v>
      </c>
      <c r="U46" s="4">
        <f t="shared" si="20"/>
        <v>1.9574962778423186</v>
      </c>
    </row>
    <row r="47" spans="1:21" x14ac:dyDescent="0.25">
      <c r="A47" t="s">
        <v>10</v>
      </c>
    </row>
    <row r="48" spans="1:21" x14ac:dyDescent="0.25">
      <c r="A48" s="35" t="s">
        <v>20</v>
      </c>
      <c r="B48" s="35"/>
      <c r="N48" t="s">
        <v>18</v>
      </c>
    </row>
    <row r="49" spans="1:21" x14ac:dyDescent="0.25">
      <c r="A49" t="s">
        <v>5</v>
      </c>
      <c r="B49" s="2">
        <v>0.95</v>
      </c>
      <c r="C49" s="4">
        <f t="shared" ref="C49:R54" si="21">$B49*C35</f>
        <v>4550.8291806597681</v>
      </c>
      <c r="D49" s="4">
        <f t="shared" si="21"/>
        <v>4061.5919665117617</v>
      </c>
      <c r="E49" s="4">
        <f t="shared" si="21"/>
        <v>3339.9041377514068</v>
      </c>
      <c r="F49" s="4">
        <f t="shared" si="21"/>
        <v>3423.8213271421455</v>
      </c>
      <c r="G49" s="4">
        <f t="shared" si="21"/>
        <v>3886.6665852267656</v>
      </c>
      <c r="H49" s="4">
        <f t="shared" si="21"/>
        <v>4028.025090755465</v>
      </c>
      <c r="I49" s="4">
        <f t="shared" si="21"/>
        <v>3054.5856938228944</v>
      </c>
      <c r="J49" s="4">
        <f t="shared" si="21"/>
        <v>3496.5495579474532</v>
      </c>
      <c r="K49" s="4">
        <f t="shared" si="21"/>
        <v>3496.5495579474532</v>
      </c>
      <c r="L49" s="4">
        <f t="shared" si="21"/>
        <v>3496.5495579474468</v>
      </c>
      <c r="M49" s="4">
        <f t="shared" si="21"/>
        <v>3496.5495579474468</v>
      </c>
      <c r="N49" s="4">
        <f t="shared" si="21"/>
        <v>3496.5495579474468</v>
      </c>
      <c r="O49" s="4">
        <f t="shared" si="21"/>
        <v>3496.5495579474468</v>
      </c>
      <c r="P49" s="4">
        <f t="shared" si="21"/>
        <v>3496.5495579474468</v>
      </c>
      <c r="Q49" s="4">
        <f t="shared" si="21"/>
        <v>3496.5495579474468</v>
      </c>
      <c r="R49" s="4">
        <f t="shared" si="21"/>
        <v>3054.5856938228944</v>
      </c>
      <c r="S49" s="4">
        <f t="shared" ref="S49:U54" si="22">$B49*S35</f>
        <v>2115.5103859458313</v>
      </c>
      <c r="T49" s="4">
        <f t="shared" si="22"/>
        <v>1788.4850988901221</v>
      </c>
      <c r="U49" s="4">
        <f t="shared" si="22"/>
        <v>1581.0418067162154</v>
      </c>
    </row>
    <row r="50" spans="1:21" x14ac:dyDescent="0.25">
      <c r="A50" t="s">
        <v>6</v>
      </c>
      <c r="B50" s="2">
        <v>0.59660000000000002</v>
      </c>
      <c r="C50" s="4">
        <f t="shared" si="21"/>
        <v>2.7633796080000006</v>
      </c>
      <c r="D50" s="4">
        <f t="shared" si="21"/>
        <v>4.7250719999999999</v>
      </c>
      <c r="E50" s="4">
        <f t="shared" si="21"/>
        <v>4.9875759999999998</v>
      </c>
      <c r="F50" s="4">
        <f t="shared" si="21"/>
        <v>4.5675695999999997</v>
      </c>
      <c r="G50" s="4">
        <f t="shared" si="21"/>
        <v>2.8421308080000003</v>
      </c>
      <c r="H50" s="4">
        <f t="shared" si="21"/>
        <v>3.0975471999999997</v>
      </c>
      <c r="I50" s="4">
        <f t="shared" si="21"/>
        <v>1.9425295999999999</v>
      </c>
      <c r="J50" s="4">
        <f t="shared" si="21"/>
        <v>3.1033806222222213</v>
      </c>
      <c r="K50" s="4">
        <f t="shared" si="21"/>
        <v>3.1033806222222213</v>
      </c>
      <c r="L50" s="4">
        <f t="shared" si="21"/>
        <v>3.1033806222222213</v>
      </c>
      <c r="M50" s="4">
        <f t="shared" si="21"/>
        <v>3.1033806222222213</v>
      </c>
      <c r="N50" s="4">
        <f t="shared" si="21"/>
        <v>3.1033806222222213</v>
      </c>
      <c r="O50" s="4">
        <f t="shared" si="21"/>
        <v>3.1033806222222213</v>
      </c>
      <c r="P50" s="4">
        <f t="shared" si="21"/>
        <v>3.1033806222222213</v>
      </c>
      <c r="Q50" s="4">
        <f t="shared" si="21"/>
        <v>3.1033806222222213</v>
      </c>
      <c r="R50" s="4">
        <f t="shared" si="21"/>
        <v>1.9425295999999999</v>
      </c>
      <c r="S50" s="4">
        <f t="shared" si="22"/>
        <v>1.354783144</v>
      </c>
      <c r="T50" s="4">
        <f t="shared" si="22"/>
        <v>0.91548269999999998</v>
      </c>
      <c r="U50" s="4">
        <f t="shared" si="22"/>
        <v>0.65606312199999994</v>
      </c>
    </row>
    <row r="51" spans="1:21" x14ac:dyDescent="0.25">
      <c r="A51" t="s">
        <v>7</v>
      </c>
      <c r="B51" s="2">
        <v>0.93189999999999995</v>
      </c>
      <c r="C51" s="4">
        <f t="shared" si="21"/>
        <v>22.497855247999997</v>
      </c>
      <c r="D51" s="4">
        <f t="shared" si="21"/>
        <v>34.621948799999998</v>
      </c>
      <c r="E51" s="4">
        <f t="shared" si="21"/>
        <v>36.545390400000002</v>
      </c>
      <c r="F51" s="4">
        <f t="shared" si="21"/>
        <v>32.057359999999996</v>
      </c>
      <c r="G51" s="4">
        <f t="shared" si="21"/>
        <v>21.210752243999998</v>
      </c>
      <c r="H51" s="4">
        <f t="shared" si="21"/>
        <v>23.722446399999999</v>
      </c>
      <c r="I51" s="4">
        <f t="shared" si="21"/>
        <v>16.6698272</v>
      </c>
      <c r="J51" s="4">
        <f t="shared" si="21"/>
        <v>23.722446400000003</v>
      </c>
      <c r="K51" s="4">
        <f t="shared" si="21"/>
        <v>23.722446400000003</v>
      </c>
      <c r="L51" s="4">
        <f t="shared" si="21"/>
        <v>23.722446400000003</v>
      </c>
      <c r="M51" s="4">
        <f t="shared" si="21"/>
        <v>23.722446400000003</v>
      </c>
      <c r="N51" s="4">
        <f t="shared" si="21"/>
        <v>23.722446400000003</v>
      </c>
      <c r="O51" s="4">
        <f t="shared" si="21"/>
        <v>23.722446400000003</v>
      </c>
      <c r="P51" s="4">
        <f t="shared" si="21"/>
        <v>23.722446400000003</v>
      </c>
      <c r="Q51" s="4">
        <f t="shared" si="21"/>
        <v>23.722446400000003</v>
      </c>
      <c r="R51" s="4">
        <f t="shared" si="21"/>
        <v>16.6698272</v>
      </c>
      <c r="S51" s="4">
        <f t="shared" si="22"/>
        <v>12.090433323999999</v>
      </c>
      <c r="T51" s="4">
        <f t="shared" si="22"/>
        <v>8.0744475499999986</v>
      </c>
      <c r="U51" s="4">
        <f t="shared" si="22"/>
        <v>6.1630274600000003</v>
      </c>
    </row>
    <row r="52" spans="1:21" x14ac:dyDescent="0.25">
      <c r="A52" t="s">
        <v>8</v>
      </c>
      <c r="B52" s="2">
        <v>1</v>
      </c>
      <c r="C52" s="4">
        <f t="shared" si="21"/>
        <v>3.5728000000000004</v>
      </c>
      <c r="D52" s="4">
        <f t="shared" si="21"/>
        <v>6.4</v>
      </c>
      <c r="E52" s="4">
        <f t="shared" si="21"/>
        <v>7.0399999999999991</v>
      </c>
      <c r="F52" s="4">
        <f t="shared" si="21"/>
        <v>5.76</v>
      </c>
      <c r="G52" s="4">
        <f t="shared" si="21"/>
        <v>3.8496000000000006</v>
      </c>
      <c r="H52" s="4">
        <f t="shared" si="21"/>
        <v>3.2</v>
      </c>
      <c r="I52" s="4">
        <f t="shared" si="21"/>
        <v>2.5600000000000005</v>
      </c>
      <c r="J52" s="4">
        <f t="shared" si="21"/>
        <v>4.1244444444444444</v>
      </c>
      <c r="K52" s="4">
        <f t="shared" si="21"/>
        <v>4.1244444444444444</v>
      </c>
      <c r="L52" s="4">
        <f t="shared" si="21"/>
        <v>4.1244444444444444</v>
      </c>
      <c r="M52" s="4">
        <f t="shared" si="21"/>
        <v>4.1244444444444444</v>
      </c>
      <c r="N52" s="4">
        <f t="shared" si="21"/>
        <v>4.1244444444444444</v>
      </c>
      <c r="O52" s="4">
        <f t="shared" si="21"/>
        <v>4.1244444444444444</v>
      </c>
      <c r="P52" s="4">
        <f t="shared" si="21"/>
        <v>4.1244444444444444</v>
      </c>
      <c r="Q52" s="4">
        <f t="shared" si="21"/>
        <v>4.1244444444444444</v>
      </c>
      <c r="R52" s="4">
        <f t="shared" si="21"/>
        <v>2.5600000000000005</v>
      </c>
      <c r="S52" s="4">
        <f t="shared" si="22"/>
        <v>1.9056000000000002</v>
      </c>
      <c r="T52" s="4">
        <f t="shared" si="22"/>
        <v>1.8600000000000003</v>
      </c>
      <c r="U52" s="4">
        <f t="shared" si="22"/>
        <v>1.8456000000000001</v>
      </c>
    </row>
    <row r="53" spans="1:21" x14ac:dyDescent="0.25">
      <c r="A53" t="s">
        <v>9</v>
      </c>
      <c r="B53" s="2">
        <v>0.90849999999999997</v>
      </c>
      <c r="C53" s="4">
        <f t="shared" si="21"/>
        <v>20.191687558997636</v>
      </c>
      <c r="D53" s="4">
        <f t="shared" si="21"/>
        <v>22.606009358483696</v>
      </c>
      <c r="E53" s="4">
        <f t="shared" si="21"/>
        <v>18.989047861126302</v>
      </c>
      <c r="F53" s="4">
        <f t="shared" si="21"/>
        <v>20.797528609804999</v>
      </c>
      <c r="G53" s="4">
        <f t="shared" si="21"/>
        <v>20.849522431329511</v>
      </c>
      <c r="H53" s="4">
        <f t="shared" si="21"/>
        <v>19.893288235465658</v>
      </c>
      <c r="I53" s="4">
        <f t="shared" si="21"/>
        <v>14.467845989429565</v>
      </c>
      <c r="J53" s="4">
        <f t="shared" si="21"/>
        <v>17.582451723265095</v>
      </c>
      <c r="K53" s="4">
        <f t="shared" si="21"/>
        <v>17.582451723265095</v>
      </c>
      <c r="L53" s="4">
        <f t="shared" si="21"/>
        <v>17.582451723265095</v>
      </c>
      <c r="M53" s="4">
        <f t="shared" si="21"/>
        <v>17.582451723265095</v>
      </c>
      <c r="N53" s="4">
        <f t="shared" si="21"/>
        <v>17.582451723265095</v>
      </c>
      <c r="O53" s="4">
        <f t="shared" si="21"/>
        <v>17.582451723265095</v>
      </c>
      <c r="P53" s="4">
        <f t="shared" si="21"/>
        <v>17.582451723265095</v>
      </c>
      <c r="Q53" s="4">
        <f t="shared" si="21"/>
        <v>17.582451723265095</v>
      </c>
      <c r="R53" s="4">
        <f t="shared" si="21"/>
        <v>14.467845989429565</v>
      </c>
      <c r="S53" s="4">
        <f t="shared" si="22"/>
        <v>8.9745857153180264</v>
      </c>
      <c r="T53" s="4">
        <f t="shared" si="22"/>
        <v>6.1318800384887027</v>
      </c>
      <c r="U53" s="4">
        <f t="shared" si="22"/>
        <v>5.2152063590021882</v>
      </c>
    </row>
    <row r="54" spans="1:21" x14ac:dyDescent="0.25">
      <c r="A54" t="s">
        <v>10</v>
      </c>
      <c r="B54" s="2">
        <v>0.89859999999999995</v>
      </c>
      <c r="C54" s="4">
        <f t="shared" si="21"/>
        <v>1.009019968</v>
      </c>
      <c r="D54" s="4">
        <f t="shared" si="21"/>
        <v>1.8978432000000001</v>
      </c>
      <c r="E54" s="4">
        <f t="shared" si="21"/>
        <v>1.8978432000000001</v>
      </c>
      <c r="F54" s="4">
        <f t="shared" si="21"/>
        <v>1.8978432000000001</v>
      </c>
      <c r="G54" s="4">
        <f t="shared" si="21"/>
        <v>1.268391872</v>
      </c>
      <c r="H54" s="4">
        <f t="shared" si="21"/>
        <v>1.2652288</v>
      </c>
      <c r="I54" s="4">
        <f t="shared" si="21"/>
        <v>1.2652288</v>
      </c>
      <c r="J54" s="4">
        <f t="shared" si="21"/>
        <v>1.4761002666666669</v>
      </c>
      <c r="K54" s="4">
        <f t="shared" si="21"/>
        <v>1.4761002666666669</v>
      </c>
      <c r="L54" s="4">
        <f t="shared" si="21"/>
        <v>1.4761002666666669</v>
      </c>
      <c r="M54" s="4">
        <f t="shared" si="21"/>
        <v>1.4761002666666669</v>
      </c>
      <c r="N54" s="4">
        <f t="shared" si="21"/>
        <v>1.4761002666666669</v>
      </c>
      <c r="O54" s="4">
        <f t="shared" si="21"/>
        <v>1.4761002666666669</v>
      </c>
      <c r="P54" s="4">
        <f t="shared" si="21"/>
        <v>1.4761002666666669</v>
      </c>
      <c r="Q54" s="4">
        <f t="shared" si="21"/>
        <v>1.4761002666666669</v>
      </c>
      <c r="R54" s="4">
        <f t="shared" si="21"/>
        <v>1.2652288</v>
      </c>
      <c r="S54" s="4">
        <f t="shared" si="22"/>
        <v>1.2557395839999999</v>
      </c>
      <c r="T54" s="4">
        <f t="shared" si="22"/>
        <v>1.2256904</v>
      </c>
      <c r="U54" s="4">
        <f t="shared" si="22"/>
        <v>1.216201184</v>
      </c>
    </row>
    <row r="55" spans="1:21" x14ac:dyDescent="0.25"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21" x14ac:dyDescent="0.25">
      <c r="A56" s="51"/>
      <c r="B56" s="51"/>
    </row>
    <row r="57" spans="1:21" x14ac:dyDescent="0.25">
      <c r="A57" s="8" t="s">
        <v>5</v>
      </c>
      <c r="B57" t="s">
        <v>24</v>
      </c>
      <c r="C57" s="4">
        <f>(C42+C49)*Resumen!$B$5</f>
        <v>135023.67528236267</v>
      </c>
      <c r="D57" s="4">
        <f>(D42+D49)*Resumen!$B$5</f>
        <v>120507.94548527298</v>
      </c>
      <c r="E57" s="4">
        <f>(E42+E49)*Resumen!$B$5</f>
        <v>99095.376659377362</v>
      </c>
      <c r="F57" s="4">
        <f>(F42+F49)*Resumen!$B$5</f>
        <v>101585.21024378382</v>
      </c>
      <c r="G57" s="4">
        <f>(G42+G49)*Resumen!$B$5</f>
        <v>115317.8873785777</v>
      </c>
      <c r="H57" s="4">
        <f>(H42+H49)*Resumen!$B$5</f>
        <v>119512.01205151038</v>
      </c>
      <c r="I57" s="4">
        <f>(I42+I49)*Resumen!$B$5</f>
        <v>90629.942472395371</v>
      </c>
      <c r="J57" s="4">
        <f>(J42+J49)*Resumen!$B$5</f>
        <v>103743.06601693611</v>
      </c>
      <c r="K57" s="4">
        <f>(K42+K49)*Resumen!$B$5</f>
        <v>103743.06601693611</v>
      </c>
      <c r="L57" s="4">
        <f>(L42+L49)*Resumen!$B$5</f>
        <v>103743.06601693593</v>
      </c>
      <c r="M57" s="4">
        <f>(M42+M49)*Resumen!$B$5</f>
        <v>103743.06601693593</v>
      </c>
      <c r="N57" s="4">
        <f>(N42+N49)*Resumen!$B$5</f>
        <v>103743.06601693593</v>
      </c>
      <c r="O57" s="4">
        <f>(O42+O49)*Resumen!$B$5</f>
        <v>103743.06601693593</v>
      </c>
      <c r="P57" s="4">
        <f>(P42+P49)*Resumen!$B$5</f>
        <v>103743.06601693593</v>
      </c>
      <c r="Q57" s="4">
        <f>(Q42+Q49)*Resumen!$B$5</f>
        <v>103743.06601693593</v>
      </c>
      <c r="R57" s="4">
        <f>(R42+R49)*Resumen!$B$5</f>
        <v>90629.942472395371</v>
      </c>
      <c r="S57" s="4">
        <f>(S42+S49)*Resumen!$B$5</f>
        <v>62767.459746094813</v>
      </c>
      <c r="T57" s="4">
        <f>(T42+T49)*Resumen!$B$5</f>
        <v>53064.578267662815</v>
      </c>
      <c r="U57" s="4">
        <f>(U42+U49)*Resumen!$B$5</f>
        <v>46909.70964701003</v>
      </c>
    </row>
    <row r="58" spans="1:21" x14ac:dyDescent="0.25">
      <c r="A58" s="8" t="s">
        <v>6</v>
      </c>
      <c r="B58" t="s">
        <v>24</v>
      </c>
      <c r="C58" s="4">
        <f>(C43+C50)*Resumen!$B$6</f>
        <v>94190.458824000016</v>
      </c>
      <c r="D58" s="4">
        <f>(D43+D50)*Resumen!$B$6</f>
        <v>161055.21599999999</v>
      </c>
      <c r="E58" s="4">
        <f>(E43+E50)*Resumen!$B$6</f>
        <v>170002.728</v>
      </c>
      <c r="F58" s="4">
        <f>(F43+F50)*Resumen!$B$6</f>
        <v>155686.70879999999</v>
      </c>
      <c r="G58" s="4">
        <f>(G43+G50)*Resumen!$B$6</f>
        <v>96874.712424000012</v>
      </c>
      <c r="H58" s="4">
        <f>(H43+H50)*Resumen!$B$6</f>
        <v>105580.64159999999</v>
      </c>
      <c r="I58" s="4">
        <f>(I43+I50)*Resumen!$B$6</f>
        <v>66211.588799999998</v>
      </c>
      <c r="J58" s="4">
        <f>(J43+J50)*Resumen!$B$6</f>
        <v>105779.47519999997</v>
      </c>
      <c r="K58" s="4">
        <f>(K43+K50)*Resumen!$B$6</f>
        <v>105779.47519999997</v>
      </c>
      <c r="L58" s="4">
        <f>(L43+L50)*Resumen!$B$6</f>
        <v>105779.47519999997</v>
      </c>
      <c r="M58" s="4">
        <f>(M43+M50)*Resumen!$B$6</f>
        <v>105779.47519999997</v>
      </c>
      <c r="N58" s="4">
        <f>(N43+N50)*Resumen!$B$6</f>
        <v>105779.47519999997</v>
      </c>
      <c r="O58" s="4">
        <f>(O43+O50)*Resumen!$B$6</f>
        <v>105779.47519999997</v>
      </c>
      <c r="P58" s="4">
        <f>(P43+P50)*Resumen!$B$6</f>
        <v>105779.47519999997</v>
      </c>
      <c r="Q58" s="4">
        <f>(Q43+Q50)*Resumen!$B$6</f>
        <v>105779.47519999997</v>
      </c>
      <c r="R58" s="4">
        <f>(R43+R50)*Resumen!$B$6</f>
        <v>66211.588799999998</v>
      </c>
      <c r="S58" s="4">
        <f>(S43+S50)*Resumen!$B$6</f>
        <v>46178.109432000005</v>
      </c>
      <c r="T58" s="4">
        <f>(T43+T50)*Resumen!$B$6</f>
        <v>31204.448100000001</v>
      </c>
      <c r="U58" s="4">
        <f>(U43+U50)*Resumen!$B$6</f>
        <v>22362.069366</v>
      </c>
    </row>
    <row r="59" spans="1:21" x14ac:dyDescent="0.25">
      <c r="A59" s="8" t="s">
        <v>7</v>
      </c>
      <c r="B59" t="s">
        <v>24</v>
      </c>
      <c r="C59" s="4">
        <f>(C51)*Resumen!$B$7</f>
        <v>51745.067070399993</v>
      </c>
      <c r="D59" s="4">
        <f>(D51)*Resumen!$B$7</f>
        <v>79630.482239999998</v>
      </c>
      <c r="E59" s="4">
        <f>(E51)*Resumen!$B$7</f>
        <v>84054.397920000003</v>
      </c>
      <c r="F59" s="4">
        <f>(F51)*Resumen!$B$7</f>
        <v>73731.927999999985</v>
      </c>
      <c r="G59" s="4">
        <f>(G51)*Resumen!$B$7</f>
        <v>48784.730161199994</v>
      </c>
      <c r="H59" s="4">
        <f>(H51)*Resumen!$B$7</f>
        <v>54561.62672</v>
      </c>
      <c r="I59" s="4">
        <f>(I51)*Resumen!$B$7</f>
        <v>38340.602559999999</v>
      </c>
      <c r="J59" s="4">
        <f>(J51)*Resumen!$B$7</f>
        <v>54561.626720000007</v>
      </c>
      <c r="K59" s="4">
        <f>(K51)*Resumen!$B$7</f>
        <v>54561.626720000007</v>
      </c>
      <c r="L59" s="4">
        <f>(L51)*Resumen!$B$7</f>
        <v>54561.626720000007</v>
      </c>
      <c r="M59" s="4">
        <f>(M51)*Resumen!$B$7</f>
        <v>54561.626720000007</v>
      </c>
      <c r="N59" s="4">
        <f>(N51)*Resumen!$B$7</f>
        <v>54561.626720000007</v>
      </c>
      <c r="O59" s="4">
        <f>(O51)*Resumen!$B$7</f>
        <v>54561.626720000007</v>
      </c>
      <c r="P59" s="4">
        <f>(P51)*Resumen!$B$7</f>
        <v>54561.626720000007</v>
      </c>
      <c r="Q59" s="4">
        <f>(Q51)*Resumen!$B$7</f>
        <v>54561.626720000007</v>
      </c>
      <c r="R59" s="4">
        <f>(R51)*Resumen!$B$7</f>
        <v>38340.602559999999</v>
      </c>
      <c r="S59" s="4">
        <f>(S51)*Resumen!$B$7</f>
        <v>27807.996645199997</v>
      </c>
      <c r="T59" s="4">
        <f>(T51)*Resumen!$B$7</f>
        <v>18571.229364999996</v>
      </c>
      <c r="U59" s="4">
        <f>(U51)*Resumen!$B$7</f>
        <v>14174.963158</v>
      </c>
    </row>
    <row r="60" spans="1:21" x14ac:dyDescent="0.25">
      <c r="A60" s="8" t="s">
        <v>8</v>
      </c>
      <c r="B60" t="s">
        <v>24</v>
      </c>
      <c r="C60" s="4">
        <f>(C52)*Resumen!$B7</f>
        <v>8217.44</v>
      </c>
      <c r="D60" s="4">
        <f>(D52)*Resumen!$B7</f>
        <v>14720</v>
      </c>
      <c r="E60" s="4">
        <f>(E52)*Resumen!$B7</f>
        <v>16191.999999999998</v>
      </c>
      <c r="F60" s="4">
        <f>(F52)*Resumen!$B7</f>
        <v>13248</v>
      </c>
      <c r="G60" s="4">
        <f>(G52)*Resumen!$B7</f>
        <v>8854.0800000000017</v>
      </c>
      <c r="H60" s="4">
        <f>(H52)*Resumen!$B7</f>
        <v>7360</v>
      </c>
      <c r="I60" s="4">
        <f>(I52)*Resumen!$B7</f>
        <v>5888.0000000000009</v>
      </c>
      <c r="J60" s="4">
        <f>(J52)*Resumen!$B7</f>
        <v>9486.2222222222226</v>
      </c>
      <c r="K60" s="4">
        <f>(K52)*Resumen!$B7</f>
        <v>9486.2222222222226</v>
      </c>
      <c r="L60" s="4">
        <f>(L52)*Resumen!$B7</f>
        <v>9486.2222222222226</v>
      </c>
      <c r="M60" s="4">
        <f>(M52)*Resumen!$B7</f>
        <v>9486.2222222222226</v>
      </c>
      <c r="N60" s="4">
        <f>(N52)*Resumen!$B7</f>
        <v>9486.2222222222226</v>
      </c>
      <c r="O60" s="4">
        <f>(O52)*Resumen!$B7</f>
        <v>9486.2222222222226</v>
      </c>
      <c r="P60" s="4">
        <f>(P52)*Resumen!$B7</f>
        <v>9486.2222222222226</v>
      </c>
      <c r="Q60" s="4">
        <f>(Q52)*Resumen!$B7</f>
        <v>9486.2222222222226</v>
      </c>
      <c r="R60" s="4">
        <f>(R52)*Resumen!$B7</f>
        <v>5888.0000000000009</v>
      </c>
      <c r="S60" s="4">
        <f>(S52)*Resumen!$B7</f>
        <v>4382.88</v>
      </c>
      <c r="T60" s="4">
        <f>(T52)*Resumen!$B7</f>
        <v>4278.0000000000009</v>
      </c>
      <c r="U60" s="4">
        <f>(U52)*Resumen!$B7</f>
        <v>4244.88</v>
      </c>
    </row>
    <row r="61" spans="1:21" x14ac:dyDescent="0.25">
      <c r="A61" s="8" t="s">
        <v>9</v>
      </c>
      <c r="B61" t="s">
        <v>24</v>
      </c>
      <c r="C61" s="4">
        <f>(C53+C46)*Resumen!$B$9</f>
        <v>49986.928441322598</v>
      </c>
      <c r="D61" s="4">
        <f>(D53+D46)*Resumen!$B$9</f>
        <v>55963.869728305654</v>
      </c>
      <c r="E61" s="4">
        <f>(E53+E46)*Resumen!$B$9</f>
        <v>47009.650571776743</v>
      </c>
      <c r="F61" s="4">
        <f>(F53+F46)*Resumen!$B$9</f>
        <v>51486.760150041191</v>
      </c>
      <c r="G61" s="4">
        <f>(G53+G46)*Resumen!$B$9</f>
        <v>51615.477050416295</v>
      </c>
      <c r="H61" s="4">
        <f>(H53+H46)*Resumen!$B$9</f>
        <v>49248.205360908978</v>
      </c>
      <c r="I61" s="4">
        <f>(I53+I46)*Resumen!$B$9</f>
        <v>35816.876626115612</v>
      </c>
      <c r="J61" s="4">
        <f>(J53+J46)*Resumen!$B$9</f>
        <v>43527.454233126613</v>
      </c>
      <c r="K61" s="4">
        <f>(K53+K46)*Resumen!$B$9</f>
        <v>43527.454233126613</v>
      </c>
      <c r="L61" s="4">
        <f>(L53+L46)*Resumen!$B$9</f>
        <v>43527.454233126613</v>
      </c>
      <c r="M61" s="4">
        <f>(M53+M46)*Resumen!$B$9</f>
        <v>43527.454233126613</v>
      </c>
      <c r="N61" s="4">
        <f>(N53+N46)*Resumen!$B$9</f>
        <v>43527.454233126613</v>
      </c>
      <c r="O61" s="4">
        <f>(O53+O46)*Resumen!$B$9</f>
        <v>43527.454233126613</v>
      </c>
      <c r="P61" s="4">
        <f>(P53+P46)*Resumen!$B$9</f>
        <v>43527.454233126613</v>
      </c>
      <c r="Q61" s="4">
        <f>(Q53+Q46)*Resumen!$B$9</f>
        <v>43527.454233126613</v>
      </c>
      <c r="R61" s="4">
        <f>(R53+R46)*Resumen!$B$9</f>
        <v>35816.876626115612</v>
      </c>
      <c r="S61" s="4">
        <f>(S53+S46)*Resumen!$B$9</f>
        <v>22217.656282137341</v>
      </c>
      <c r="T61" s="4">
        <f>(T53+T46)*Resumen!$B$9</f>
        <v>15180.199663802907</v>
      </c>
      <c r="U61" s="4">
        <f>(U53+U46)*Resumen!$B$9</f>
        <v>12910.864746320112</v>
      </c>
    </row>
    <row r="62" spans="1:21" x14ac:dyDescent="0.25">
      <c r="A62" s="8" t="s">
        <v>10</v>
      </c>
      <c r="B62" t="s">
        <v>24</v>
      </c>
      <c r="C62" s="4">
        <f>(C54)*Resumen!$B$10</f>
        <v>2320.7459263999999</v>
      </c>
      <c r="D62" s="4">
        <f>(D54)*Resumen!$B$10</f>
        <v>4365.0393599999998</v>
      </c>
      <c r="E62" s="4">
        <f>(E54)*Resumen!$B$10</f>
        <v>4365.0393599999998</v>
      </c>
      <c r="F62" s="4">
        <f>(F54)*Resumen!$B$10</f>
        <v>4365.0393599999998</v>
      </c>
      <c r="G62" s="4">
        <f>(G54)*Resumen!$B$10</f>
        <v>2917.3013056</v>
      </c>
      <c r="H62" s="4">
        <f>(H54)*Resumen!$B$10</f>
        <v>2910.0262400000001</v>
      </c>
      <c r="I62" s="4">
        <f>(I54)*Resumen!$B$10</f>
        <v>2910.0262400000001</v>
      </c>
      <c r="J62" s="4">
        <f>(J54)*Resumen!$B$10</f>
        <v>3395.0306133333338</v>
      </c>
      <c r="K62" s="4">
        <f>(K54)*Resumen!$B$10</f>
        <v>3395.0306133333338</v>
      </c>
      <c r="L62" s="4">
        <f>(L54)*Resumen!$B$10</f>
        <v>3395.0306133333338</v>
      </c>
      <c r="M62" s="4">
        <f>(M54)*Resumen!$B$10</f>
        <v>3395.0306133333338</v>
      </c>
      <c r="N62" s="4">
        <f>(N54)*Resumen!$B$10</f>
        <v>3395.0306133333338</v>
      </c>
      <c r="O62" s="4">
        <f>(O54)*Resumen!$B$10</f>
        <v>3395.0306133333338</v>
      </c>
      <c r="P62" s="4">
        <f>(P54)*Resumen!$B$10</f>
        <v>3395.0306133333338</v>
      </c>
      <c r="Q62" s="4">
        <f>(Q54)*Resumen!$B$10</f>
        <v>3395.0306133333338</v>
      </c>
      <c r="R62" s="4">
        <f>(R54)*Resumen!$B$10</f>
        <v>2910.0262400000001</v>
      </c>
      <c r="S62" s="4">
        <f>(S54)*Resumen!$B$10</f>
        <v>2888.2010431999997</v>
      </c>
      <c r="T62" s="4">
        <f>(T54)*Resumen!$B$10</f>
        <v>2819.0879199999999</v>
      </c>
      <c r="U62" s="4">
        <f>(U54)*Resumen!$B$10</f>
        <v>2797.2627232</v>
      </c>
    </row>
    <row r="63" spans="1:21" x14ac:dyDescent="0.25">
      <c r="A63" t="s">
        <v>41</v>
      </c>
      <c r="B63" t="s">
        <v>24</v>
      </c>
      <c r="C63" s="4">
        <f>SUM(C57:C62)</f>
        <v>341484.31554448529</v>
      </c>
      <c r="D63" s="4">
        <f>SUM(D57:D62)</f>
        <v>436242.55281357863</v>
      </c>
      <c r="E63" s="4">
        <f t="shared" ref="E63:U63" si="23">SUM(E57:E62)</f>
        <v>420719.19251115411</v>
      </c>
      <c r="F63" s="4">
        <f t="shared" si="23"/>
        <v>400103.64655382495</v>
      </c>
      <c r="G63" s="4">
        <f t="shared" si="23"/>
        <v>324364.18831979396</v>
      </c>
      <c r="H63" s="4">
        <f t="shared" si="23"/>
        <v>339172.51197241934</v>
      </c>
      <c r="I63" s="4">
        <f t="shared" si="23"/>
        <v>239797.03669851099</v>
      </c>
      <c r="J63" s="4">
        <f t="shared" si="23"/>
        <v>320492.87500561826</v>
      </c>
      <c r="K63" s="4">
        <f t="shared" si="23"/>
        <v>320492.87500561826</v>
      </c>
      <c r="L63" s="4">
        <f t="shared" si="23"/>
        <v>320492.87500561809</v>
      </c>
      <c r="M63" s="4">
        <f t="shared" si="23"/>
        <v>320492.87500561809</v>
      </c>
      <c r="N63" s="4">
        <f t="shared" si="23"/>
        <v>320492.87500561809</v>
      </c>
      <c r="O63" s="4">
        <f t="shared" si="23"/>
        <v>320492.87500561809</v>
      </c>
      <c r="P63" s="4">
        <f t="shared" si="23"/>
        <v>320492.87500561809</v>
      </c>
      <c r="Q63" s="4">
        <f t="shared" si="23"/>
        <v>320492.87500561809</v>
      </c>
      <c r="R63" s="4">
        <f t="shared" si="23"/>
        <v>239797.03669851099</v>
      </c>
      <c r="S63" s="4">
        <f t="shared" si="23"/>
        <v>166242.3031486322</v>
      </c>
      <c r="T63" s="4">
        <f t="shared" si="23"/>
        <v>125117.54331646573</v>
      </c>
      <c r="U63" s="4">
        <f t="shared" si="23"/>
        <v>103399.74964053015</v>
      </c>
    </row>
    <row r="64" spans="1:21" x14ac:dyDescent="0.25">
      <c r="A64" s="8" t="s">
        <v>42</v>
      </c>
      <c r="B64" t="s">
        <v>24</v>
      </c>
      <c r="C64" s="4">
        <f>C$4*Resumen!$B17</f>
        <v>22776.600000000002</v>
      </c>
      <c r="D64" s="4">
        <f>D$4*Resumen!$B17</f>
        <v>28560.000000000004</v>
      </c>
      <c r="E64" s="4">
        <f>E$4*Resumen!$B17</f>
        <v>28560.000000000004</v>
      </c>
      <c r="F64" s="4">
        <f>F$4*Resumen!$B17</f>
        <v>28560.000000000004</v>
      </c>
      <c r="G64" s="4">
        <f>G$4*Resumen!$B17</f>
        <v>28631.4</v>
      </c>
      <c r="H64" s="4">
        <f>H$4*Resumen!$B17</f>
        <v>28560.000000000004</v>
      </c>
      <c r="I64" s="4">
        <f>I$4*Resumen!$B17</f>
        <v>28560.000000000004</v>
      </c>
      <c r="J64" s="4">
        <f>J$4*Resumen!$B17</f>
        <v>28560.000000000004</v>
      </c>
      <c r="K64" s="4">
        <f>K$4*Resumen!$B17</f>
        <v>28560.000000000004</v>
      </c>
      <c r="L64" s="4">
        <f>L$4*Resumen!$B17</f>
        <v>28560.000000000004</v>
      </c>
      <c r="M64" s="4">
        <f>M$4*Resumen!$B17</f>
        <v>28560.000000000004</v>
      </c>
      <c r="N64" s="4">
        <f>N$4*Resumen!$B17</f>
        <v>28560.000000000004</v>
      </c>
      <c r="O64" s="4">
        <f>O$4*Resumen!$B17</f>
        <v>28560.000000000004</v>
      </c>
      <c r="P64" s="4">
        <f>P$4*Resumen!$B17</f>
        <v>28560.000000000004</v>
      </c>
      <c r="Q64" s="4">
        <f>Q$4*Resumen!$B17</f>
        <v>28560.000000000004</v>
      </c>
      <c r="R64" s="4">
        <f>R$4*Resumen!$B17</f>
        <v>28560.000000000004</v>
      </c>
      <c r="S64" s="4">
        <f>S$4*Resumen!$B17</f>
        <v>28345.800000000003</v>
      </c>
      <c r="T64" s="4">
        <f>T$4*Resumen!$B17</f>
        <v>27667.500000000004</v>
      </c>
      <c r="U64" s="4">
        <f>U$4*Resumen!$B17</f>
        <v>27453.300000000003</v>
      </c>
    </row>
    <row r="65" spans="1:21" x14ac:dyDescent="0.25">
      <c r="A65" s="9" t="s">
        <v>43</v>
      </c>
      <c r="B65" t="s">
        <v>24</v>
      </c>
      <c r="C65" s="4">
        <f>C63-C64</f>
        <v>318707.71554448531</v>
      </c>
      <c r="D65" s="4">
        <f t="shared" ref="D65:U65" si="24">D63-D64</f>
        <v>407682.55281357863</v>
      </c>
      <c r="E65" s="4">
        <f t="shared" si="24"/>
        <v>392159.19251115411</v>
      </c>
      <c r="F65" s="4">
        <f t="shared" si="24"/>
        <v>371543.64655382495</v>
      </c>
      <c r="G65" s="4">
        <f t="shared" si="24"/>
        <v>295732.78831979394</v>
      </c>
      <c r="H65" s="4">
        <f t="shared" si="24"/>
        <v>310612.51197241934</v>
      </c>
      <c r="I65" s="4">
        <f t="shared" si="24"/>
        <v>211237.03669851099</v>
      </c>
      <c r="J65" s="4">
        <f t="shared" si="24"/>
        <v>291932.87500561826</v>
      </c>
      <c r="K65" s="4">
        <f t="shared" si="24"/>
        <v>291932.87500561826</v>
      </c>
      <c r="L65" s="4">
        <f t="shared" si="24"/>
        <v>291932.87500561809</v>
      </c>
      <c r="M65" s="4">
        <f t="shared" si="24"/>
        <v>291932.87500561809</v>
      </c>
      <c r="N65" s="4">
        <f t="shared" si="24"/>
        <v>291932.87500561809</v>
      </c>
      <c r="O65" s="4">
        <f t="shared" si="24"/>
        <v>291932.87500561809</v>
      </c>
      <c r="P65" s="4">
        <f t="shared" si="24"/>
        <v>291932.87500561809</v>
      </c>
      <c r="Q65" s="4">
        <f t="shared" si="24"/>
        <v>291932.87500561809</v>
      </c>
      <c r="R65" s="4">
        <f t="shared" si="24"/>
        <v>211237.03669851099</v>
      </c>
      <c r="S65" s="4">
        <f t="shared" si="24"/>
        <v>137896.50314863218</v>
      </c>
      <c r="T65" s="4">
        <f t="shared" si="24"/>
        <v>97450.04331646573</v>
      </c>
      <c r="U65" s="4">
        <f t="shared" si="24"/>
        <v>75946.449640530147</v>
      </c>
    </row>
    <row r="66" spans="1:21" x14ac:dyDescent="0.25">
      <c r="A66" s="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21" x14ac:dyDescent="0.25">
      <c r="A67" s="51"/>
      <c r="B67" s="5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21" x14ac:dyDescent="0.25">
      <c r="A68" s="8" t="s">
        <v>26</v>
      </c>
      <c r="B68" t="s">
        <v>24</v>
      </c>
      <c r="C68" s="4">
        <f>(C$4+C3)*Resumen!$B13</f>
        <v>17374.654000000002</v>
      </c>
      <c r="D68" s="4">
        <f>(D$4+D3)*Resumen!$B13</f>
        <v>21786.400000000001</v>
      </c>
      <c r="E68" s="4">
        <f>(E$4+E3)*Resumen!$B13</f>
        <v>21786.400000000001</v>
      </c>
      <c r="F68" s="4">
        <f>(F$4+F3)*Resumen!$B13</f>
        <v>21786.400000000001</v>
      </c>
      <c r="G68" s="4">
        <f>(G$4+G3)*Resumen!$B13</f>
        <v>21840.866000000002</v>
      </c>
      <c r="H68" s="4">
        <f>(H$4+H3)*Resumen!$B13</f>
        <v>21786.400000000001</v>
      </c>
      <c r="I68" s="4">
        <f>(I$4+I3)*Resumen!$B13</f>
        <v>21786.400000000001</v>
      </c>
      <c r="J68" s="4">
        <f>(J$4+J3)*Resumen!$B13</f>
        <v>21786.400000000001</v>
      </c>
      <c r="K68" s="4">
        <f>(K$4+K3)*Resumen!$B13</f>
        <v>21786.400000000001</v>
      </c>
      <c r="L68" s="4">
        <f>(L$4+L3)*Resumen!$B13</f>
        <v>21786.400000000001</v>
      </c>
      <c r="M68" s="4">
        <f>(M$4+M3)*Resumen!$B13</f>
        <v>21786.400000000001</v>
      </c>
      <c r="N68" s="4">
        <f>(N$4+N3)*Resumen!$B13</f>
        <v>21786.400000000001</v>
      </c>
      <c r="O68" s="4">
        <f>(O$4+O3)*Resumen!$B13</f>
        <v>21786.400000000001</v>
      </c>
      <c r="P68" s="4">
        <f>(P$4+P3)*Resumen!$B13</f>
        <v>21786.400000000001</v>
      </c>
      <c r="Q68" s="4">
        <f>(Q$4+Q3)*Resumen!$B13</f>
        <v>21786.400000000001</v>
      </c>
      <c r="R68" s="4">
        <f>(R$4+R3)*Resumen!$B13</f>
        <v>21786.400000000001</v>
      </c>
      <c r="S68" s="4">
        <f>(S$4+S3)*Resumen!$B13</f>
        <v>21623.002</v>
      </c>
      <c r="T68" s="4">
        <f>(T$4+T3)*Resumen!$B13</f>
        <v>21105.575000000001</v>
      </c>
      <c r="U68" s="4">
        <f>(U$4+U3)*Resumen!$B13</f>
        <v>20942.177000000003</v>
      </c>
    </row>
    <row r="69" spans="1:21" x14ac:dyDescent="0.25">
      <c r="A69" s="8" t="s">
        <v>27</v>
      </c>
      <c r="B69" t="s">
        <v>24</v>
      </c>
      <c r="C69" s="4">
        <f>C$4*Resumen!$B14</f>
        <v>19140</v>
      </c>
      <c r="D69" s="4">
        <f>D$4*Resumen!$B14</f>
        <v>24000</v>
      </c>
      <c r="E69" s="4">
        <f>E$4*Resumen!$B14</f>
        <v>24000</v>
      </c>
      <c r="F69" s="4">
        <f>F$4*Resumen!$B14</f>
        <v>24000</v>
      </c>
      <c r="G69" s="4">
        <f>G$4*Resumen!$B14</f>
        <v>24060</v>
      </c>
      <c r="H69" s="4">
        <f>H$4*Resumen!$B14</f>
        <v>24000</v>
      </c>
      <c r="I69" s="4">
        <f>I$4*Resumen!$B14</f>
        <v>24000</v>
      </c>
      <c r="J69" s="4">
        <f>J$4*Resumen!$B14</f>
        <v>24000</v>
      </c>
      <c r="K69" s="4">
        <f>K$4*Resumen!$B14</f>
        <v>24000</v>
      </c>
      <c r="L69" s="4">
        <f>L$4*Resumen!$B14</f>
        <v>24000</v>
      </c>
      <c r="M69" s="4">
        <f>M$4*Resumen!$B14</f>
        <v>24000</v>
      </c>
      <c r="N69" s="4">
        <f>N$4*Resumen!$B14</f>
        <v>24000</v>
      </c>
      <c r="O69" s="4">
        <f>O$4*Resumen!$B14</f>
        <v>24000</v>
      </c>
      <c r="P69" s="4">
        <f>P$4*Resumen!$B14</f>
        <v>24000</v>
      </c>
      <c r="Q69" s="4">
        <f>Q$4*Resumen!$B14</f>
        <v>24000</v>
      </c>
      <c r="R69" s="4">
        <f>R$4*Resumen!$B14</f>
        <v>24000</v>
      </c>
      <c r="S69" s="4">
        <f>S$4*Resumen!$B14</f>
        <v>23820</v>
      </c>
      <c r="T69" s="4">
        <f>T$4*Resumen!$B14</f>
        <v>23250</v>
      </c>
      <c r="U69" s="4">
        <f>U$4*Resumen!$B14</f>
        <v>23070</v>
      </c>
    </row>
    <row r="70" spans="1:21" x14ac:dyDescent="0.25">
      <c r="A70" s="8" t="s">
        <v>1</v>
      </c>
      <c r="B70" t="s">
        <v>24</v>
      </c>
      <c r="C70" s="4">
        <f>C$4*Resumen!$B15</f>
        <v>19331.400000000001</v>
      </c>
      <c r="D70" s="4">
        <f>D$4*Resumen!$B15</f>
        <v>24240</v>
      </c>
      <c r="E70" s="4">
        <f>E$4*Resumen!$B15</f>
        <v>24240</v>
      </c>
      <c r="F70" s="4">
        <f>F$4*Resumen!$B15</f>
        <v>24240</v>
      </c>
      <c r="G70" s="4">
        <f>G$4*Resumen!$B15</f>
        <v>24300.600000000002</v>
      </c>
      <c r="H70" s="4">
        <f>H$4*Resumen!$B15</f>
        <v>24240</v>
      </c>
      <c r="I70" s="4">
        <f>I$4*Resumen!$B15</f>
        <v>24240</v>
      </c>
      <c r="J70" s="4">
        <f>J$4*Resumen!$B15</f>
        <v>24240</v>
      </c>
      <c r="K70" s="4">
        <f>K$4*Resumen!$B15</f>
        <v>24240</v>
      </c>
      <c r="L70" s="4">
        <f>L$4*Resumen!$B15</f>
        <v>24240</v>
      </c>
      <c r="M70" s="4">
        <f>M$4*Resumen!$B15</f>
        <v>24240</v>
      </c>
      <c r="N70" s="4">
        <f>N$4*Resumen!$B15</f>
        <v>24240</v>
      </c>
      <c r="O70" s="4">
        <f>O$4*Resumen!$B15</f>
        <v>24240</v>
      </c>
      <c r="P70" s="4">
        <f>P$4*Resumen!$B15</f>
        <v>24240</v>
      </c>
      <c r="Q70" s="4">
        <f>Q$4*Resumen!$B15</f>
        <v>24240</v>
      </c>
      <c r="R70" s="4">
        <f>R$4*Resumen!$B15</f>
        <v>24240</v>
      </c>
      <c r="S70" s="4">
        <f>S$4*Resumen!$B15</f>
        <v>24058.2</v>
      </c>
      <c r="T70" s="4">
        <f>T$4*Resumen!$B15</f>
        <v>23482.5</v>
      </c>
      <c r="U70" s="4">
        <f>U$4*Resumen!$B15</f>
        <v>23300.7</v>
      </c>
    </row>
    <row r="71" spans="1:21" x14ac:dyDescent="0.25">
      <c r="A71" s="8" t="s">
        <v>28</v>
      </c>
      <c r="B71" t="s">
        <v>24</v>
      </c>
      <c r="C71" s="4">
        <f>C$4*Resumen!$B16</f>
        <v>4912.6000000000004</v>
      </c>
      <c r="D71" s="4">
        <f>D$4*Resumen!$B16</f>
        <v>6160</v>
      </c>
      <c r="E71" s="4">
        <f>E$4*Resumen!$B16</f>
        <v>6160</v>
      </c>
      <c r="F71" s="4">
        <f>F$4*Resumen!$B16</f>
        <v>6160</v>
      </c>
      <c r="G71" s="4">
        <f>G$4*Resumen!$B16</f>
        <v>6175.4000000000005</v>
      </c>
      <c r="H71" s="4">
        <f>H$4*Resumen!$B16</f>
        <v>6160</v>
      </c>
      <c r="I71" s="4">
        <f>I$4*Resumen!$B16</f>
        <v>6160</v>
      </c>
      <c r="J71" s="4">
        <f>J$4*Resumen!$B16</f>
        <v>6160</v>
      </c>
      <c r="K71" s="4">
        <f>K$4*Resumen!$B16</f>
        <v>6160</v>
      </c>
      <c r="L71" s="4">
        <f>L$4*Resumen!$B16</f>
        <v>6160</v>
      </c>
      <c r="M71" s="4">
        <f>M$4*Resumen!$B16</f>
        <v>6160</v>
      </c>
      <c r="N71" s="4">
        <f>N$4*Resumen!$B16</f>
        <v>6160</v>
      </c>
      <c r="O71" s="4">
        <f>O$4*Resumen!$B16</f>
        <v>6160</v>
      </c>
      <c r="P71" s="4">
        <f>P$4*Resumen!$B16</f>
        <v>6160</v>
      </c>
      <c r="Q71" s="4">
        <f>Q$4*Resumen!$B16</f>
        <v>6160</v>
      </c>
      <c r="R71" s="4">
        <f>R$4*Resumen!$B16</f>
        <v>6160</v>
      </c>
      <c r="S71" s="4">
        <f>S$4*Resumen!$B16</f>
        <v>6113.8</v>
      </c>
      <c r="T71" s="4">
        <f>T$4*Resumen!$B16</f>
        <v>5967.5</v>
      </c>
      <c r="U71" s="4">
        <f>U$4*Resumen!$B16</f>
        <v>5921.3</v>
      </c>
    </row>
    <row r="72" spans="1:21" x14ac:dyDescent="0.25">
      <c r="A72" s="8" t="s">
        <v>36</v>
      </c>
      <c r="B72" t="s">
        <v>24</v>
      </c>
      <c r="C72" s="4">
        <f>Resumen!$B19*('Vares Ampliado NAV'!C3+'Vares Ampliado NAV'!C4)</f>
        <v>1521.1834000000001</v>
      </c>
      <c r="D72" s="4">
        <f>Resumen!$B19*('Vares Ampliado NAV'!D3+'Vares Ampliado NAV'!D4)</f>
        <v>1907.4399999999998</v>
      </c>
      <c r="E72" s="4">
        <f>Resumen!$B19*('Vares Ampliado NAV'!E3+'Vares Ampliado NAV'!E4)</f>
        <v>1907.4399999999998</v>
      </c>
      <c r="F72" s="4">
        <f>Resumen!$B19*('Vares Ampliado NAV'!F3+'Vares Ampliado NAV'!F4)</f>
        <v>1907.4399999999998</v>
      </c>
      <c r="G72" s="4">
        <f>Resumen!$B19*('Vares Ampliado NAV'!G3+'Vares Ampliado NAV'!G4)</f>
        <v>1912.2085999999999</v>
      </c>
      <c r="H72" s="4">
        <f>Resumen!$B19*('Vares Ampliado NAV'!H3+'Vares Ampliado NAV'!H4)</f>
        <v>1907.4399999999998</v>
      </c>
      <c r="I72" s="4">
        <f>Resumen!$B19*('Vares Ampliado NAV'!I3+'Vares Ampliado NAV'!I4)</f>
        <v>1907.4399999999998</v>
      </c>
      <c r="J72" s="4">
        <f>Resumen!$B19*('Vares Ampliado NAV'!J3+'Vares Ampliado NAV'!J4)</f>
        <v>1907.4399999999998</v>
      </c>
      <c r="K72" s="4">
        <f>Resumen!$B19*('Vares Ampliado NAV'!K3+'Vares Ampliado NAV'!K4)</f>
        <v>1907.4399999999998</v>
      </c>
      <c r="L72" s="4">
        <f>Resumen!$B19*('Vares Ampliado NAV'!L3+'Vares Ampliado NAV'!L4)</f>
        <v>1907.4399999999998</v>
      </c>
      <c r="M72" s="4">
        <f>Resumen!$B19*('Vares Ampliado NAV'!M3+'Vares Ampliado NAV'!M4)</f>
        <v>1907.4399999999998</v>
      </c>
      <c r="N72" s="4">
        <f>Resumen!$B19*('Vares Ampliado NAV'!N3+'Vares Ampliado NAV'!N4)</f>
        <v>1907.4399999999998</v>
      </c>
      <c r="O72" s="4">
        <f>Resumen!$B19*('Vares Ampliado NAV'!O3+'Vares Ampliado NAV'!O4)</f>
        <v>1907.4399999999998</v>
      </c>
      <c r="P72" s="4">
        <f>Resumen!$B19*('Vares Ampliado NAV'!P3+'Vares Ampliado NAV'!P4)</f>
        <v>1907.4399999999998</v>
      </c>
      <c r="Q72" s="4">
        <f>Resumen!$B19*('Vares Ampliado NAV'!Q3+'Vares Ampliado NAV'!Q4)</f>
        <v>1907.4399999999998</v>
      </c>
      <c r="R72" s="4">
        <f>Resumen!$B19*('Vares Ampliado NAV'!R3+'Vares Ampliado NAV'!R4)</f>
        <v>1907.4399999999998</v>
      </c>
      <c r="S72" s="4">
        <f>Resumen!$B19*('Vares Ampliado NAV'!S3+'Vares Ampliado NAV'!S4)</f>
        <v>1893.1342</v>
      </c>
      <c r="T72" s="4">
        <f>Resumen!$B19*('Vares Ampliado NAV'!T3+'Vares Ampliado NAV'!T4)</f>
        <v>1847.8325</v>
      </c>
      <c r="U72" s="4">
        <f>Resumen!$B19*('Vares Ampliado NAV'!U3+'Vares Ampliado NAV'!U4)</f>
        <v>1833.5266999999999</v>
      </c>
    </row>
    <row r="73" spans="1:21" x14ac:dyDescent="0.25">
      <c r="A73" s="9" t="s">
        <v>44</v>
      </c>
      <c r="B73" t="s">
        <v>24</v>
      </c>
      <c r="C73" s="4">
        <f t="shared" ref="C73:U73" si="25">SUM(C68:C72)</f>
        <v>62279.837400000004</v>
      </c>
      <c r="D73" s="4">
        <f t="shared" si="25"/>
        <v>78093.84</v>
      </c>
      <c r="E73" s="4">
        <f t="shared" si="25"/>
        <v>78093.84</v>
      </c>
      <c r="F73" s="4">
        <f t="shared" si="25"/>
        <v>78093.84</v>
      </c>
      <c r="G73" s="4">
        <f t="shared" si="25"/>
        <v>78289.074599999993</v>
      </c>
      <c r="H73" s="4">
        <f t="shared" si="25"/>
        <v>78093.84</v>
      </c>
      <c r="I73" s="4">
        <f t="shared" si="25"/>
        <v>78093.84</v>
      </c>
      <c r="J73" s="4">
        <f t="shared" si="25"/>
        <v>78093.84</v>
      </c>
      <c r="K73" s="4">
        <f t="shared" si="25"/>
        <v>78093.84</v>
      </c>
      <c r="L73" s="4">
        <f t="shared" si="25"/>
        <v>78093.84</v>
      </c>
      <c r="M73" s="4">
        <f t="shared" si="25"/>
        <v>78093.84</v>
      </c>
      <c r="N73" s="4">
        <f t="shared" si="25"/>
        <v>78093.84</v>
      </c>
      <c r="O73" s="4">
        <f t="shared" si="25"/>
        <v>78093.84</v>
      </c>
      <c r="P73" s="4">
        <f t="shared" si="25"/>
        <v>78093.84</v>
      </c>
      <c r="Q73" s="4">
        <f t="shared" si="25"/>
        <v>78093.84</v>
      </c>
      <c r="R73" s="4">
        <f t="shared" si="25"/>
        <v>78093.84</v>
      </c>
      <c r="S73" s="4">
        <f t="shared" si="25"/>
        <v>77508.136200000008</v>
      </c>
      <c r="T73" s="4">
        <f t="shared" si="25"/>
        <v>75653.407500000001</v>
      </c>
      <c r="U73" s="4">
        <f t="shared" si="25"/>
        <v>75067.703700000013</v>
      </c>
    </row>
    <row r="74" spans="1:21" x14ac:dyDescent="0.25">
      <c r="A74" s="8" t="s">
        <v>30</v>
      </c>
      <c r="B74" t="s">
        <v>24</v>
      </c>
      <c r="C74" s="4">
        <f>Resumen!$B18/9</f>
        <v>3555.5555555555557</v>
      </c>
      <c r="D74" s="4">
        <f>Resumen!$B18/9</f>
        <v>3555.5555555555557</v>
      </c>
      <c r="E74" s="4">
        <f>Resumen!$B18/9</f>
        <v>3555.5555555555557</v>
      </c>
      <c r="F74" s="4">
        <f>Resumen!$B18/9</f>
        <v>3555.5555555555557</v>
      </c>
      <c r="G74" s="4">
        <f>Resumen!$B18/9</f>
        <v>3555.5555555555557</v>
      </c>
      <c r="H74" s="4">
        <f>Resumen!$B18/9</f>
        <v>3555.5555555555557</v>
      </c>
      <c r="I74" s="4">
        <f>Resumen!$B18/9</f>
        <v>3555.5555555555557</v>
      </c>
      <c r="J74" s="19">
        <f>Resumen!$B18/9</f>
        <v>3555.5555555555557</v>
      </c>
      <c r="K74" s="19">
        <f>Resumen!$B18/9</f>
        <v>3555.5555555555557</v>
      </c>
      <c r="L74" s="19">
        <f>Resumen!$B18/9</f>
        <v>3555.5555555555557</v>
      </c>
      <c r="M74" s="19">
        <f>Resumen!$B18/9</f>
        <v>3555.5555555555557</v>
      </c>
      <c r="N74" s="19">
        <f>Resumen!$B18/9</f>
        <v>3555.5555555555557</v>
      </c>
      <c r="O74" s="19">
        <f>Resumen!$B18/9</f>
        <v>3555.5555555555557</v>
      </c>
      <c r="P74" s="19">
        <f>Resumen!$B18/9</f>
        <v>3555.5555555555557</v>
      </c>
      <c r="Q74" s="19">
        <f>Resumen!$B18/9</f>
        <v>3555.5555555555557</v>
      </c>
      <c r="R74" s="19">
        <f>Resumen!$B18/9</f>
        <v>3555.5555555555557</v>
      </c>
    </row>
    <row r="75" spans="1:21" x14ac:dyDescent="0.25">
      <c r="A75" s="8" t="s">
        <v>99</v>
      </c>
      <c r="B75" t="s">
        <v>24</v>
      </c>
      <c r="C75" s="4"/>
      <c r="D75" s="4"/>
      <c r="E75" s="4"/>
      <c r="F75" s="7"/>
      <c r="G75" s="7"/>
      <c r="H75" s="18">
        <v>40000</v>
      </c>
      <c r="I75" s="18">
        <v>40000</v>
      </c>
      <c r="J75" s="7"/>
      <c r="K75" s="7"/>
      <c r="L75" s="7"/>
      <c r="M75" s="7"/>
    </row>
    <row r="76" spans="1:21" x14ac:dyDescent="0.25">
      <c r="A76" t="s">
        <v>45</v>
      </c>
      <c r="B76" t="s">
        <v>24</v>
      </c>
      <c r="C76" s="4">
        <f>SUM(C74:C75)</f>
        <v>3555.5555555555557</v>
      </c>
      <c r="D76" s="4">
        <f t="shared" ref="D76:U76" si="26">SUM(D74:D75)</f>
        <v>3555.5555555555557</v>
      </c>
      <c r="E76" s="4">
        <f t="shared" si="26"/>
        <v>3555.5555555555557</v>
      </c>
      <c r="F76" s="4">
        <f t="shared" si="26"/>
        <v>3555.5555555555557</v>
      </c>
      <c r="G76" s="4">
        <f t="shared" si="26"/>
        <v>3555.5555555555557</v>
      </c>
      <c r="H76" s="4">
        <f t="shared" si="26"/>
        <v>43555.555555555555</v>
      </c>
      <c r="I76" s="4">
        <f t="shared" si="26"/>
        <v>43555.555555555555</v>
      </c>
      <c r="J76" s="4">
        <f t="shared" si="26"/>
        <v>3555.5555555555557</v>
      </c>
      <c r="K76" s="4">
        <f t="shared" si="26"/>
        <v>3555.5555555555557</v>
      </c>
      <c r="L76" s="4">
        <f t="shared" si="26"/>
        <v>3555.5555555555557</v>
      </c>
      <c r="M76" s="4">
        <f t="shared" si="26"/>
        <v>3555.5555555555557</v>
      </c>
      <c r="N76" s="4">
        <f t="shared" si="26"/>
        <v>3555.5555555555557</v>
      </c>
      <c r="O76" s="4">
        <f t="shared" si="26"/>
        <v>3555.5555555555557</v>
      </c>
      <c r="P76" s="4">
        <f t="shared" si="26"/>
        <v>3555.5555555555557</v>
      </c>
      <c r="Q76" s="4">
        <f t="shared" si="26"/>
        <v>3555.5555555555557</v>
      </c>
      <c r="R76" s="4">
        <f t="shared" si="26"/>
        <v>3555.5555555555557</v>
      </c>
      <c r="S76" s="4">
        <f t="shared" si="26"/>
        <v>0</v>
      </c>
      <c r="T76" s="4">
        <f t="shared" si="26"/>
        <v>0</v>
      </c>
      <c r="U76" s="4">
        <f t="shared" si="26"/>
        <v>0</v>
      </c>
    </row>
    <row r="77" spans="1:21" x14ac:dyDescent="0.25">
      <c r="A77" s="9" t="s">
        <v>49</v>
      </c>
      <c r="C77" s="4">
        <f>C65-C73</f>
        <v>256427.87814448529</v>
      </c>
      <c r="D77" s="4">
        <f t="shared" ref="D77:U77" si="27">D65-D73</f>
        <v>329588.71281357866</v>
      </c>
      <c r="E77" s="4">
        <f t="shared" si="27"/>
        <v>314065.35251115414</v>
      </c>
      <c r="F77" s="4">
        <f t="shared" si="27"/>
        <v>293449.80655382492</v>
      </c>
      <c r="G77" s="4">
        <f t="shared" si="27"/>
        <v>217443.71371979394</v>
      </c>
      <c r="H77" s="4">
        <f t="shared" si="27"/>
        <v>232518.67197241934</v>
      </c>
      <c r="I77" s="4">
        <f t="shared" si="27"/>
        <v>133143.19669851099</v>
      </c>
      <c r="J77" s="4">
        <f t="shared" si="27"/>
        <v>213839.03500561827</v>
      </c>
      <c r="K77" s="4">
        <f t="shared" si="27"/>
        <v>213839.03500561827</v>
      </c>
      <c r="L77" s="4">
        <f t="shared" si="27"/>
        <v>213839.03500561809</v>
      </c>
      <c r="M77" s="4">
        <f t="shared" si="27"/>
        <v>213839.03500561809</v>
      </c>
      <c r="N77" s="4">
        <f t="shared" si="27"/>
        <v>213839.03500561809</v>
      </c>
      <c r="O77" s="4">
        <f t="shared" si="27"/>
        <v>213839.03500561809</v>
      </c>
      <c r="P77" s="4">
        <f t="shared" si="27"/>
        <v>213839.03500561809</v>
      </c>
      <c r="Q77" s="4">
        <f t="shared" si="27"/>
        <v>213839.03500561809</v>
      </c>
      <c r="R77" s="4">
        <f t="shared" si="27"/>
        <v>133143.19669851099</v>
      </c>
      <c r="S77" s="4">
        <f t="shared" si="27"/>
        <v>60388.366948632174</v>
      </c>
      <c r="T77" s="4">
        <f t="shared" si="27"/>
        <v>21796.635816465729</v>
      </c>
      <c r="U77" s="4">
        <f t="shared" si="27"/>
        <v>878.74594053013425</v>
      </c>
    </row>
    <row r="78" spans="1:21" x14ac:dyDescent="0.25">
      <c r="A78" s="8" t="s">
        <v>47</v>
      </c>
      <c r="B78" t="s">
        <v>24</v>
      </c>
      <c r="C78" s="4">
        <f>Resumen!B33</f>
        <v>203700</v>
      </c>
      <c r="D78" s="4">
        <f>C78+C76-C79</f>
        <v>198427.33787332533</v>
      </c>
      <c r="E78" s="4">
        <f t="shared" ref="E78:M78" si="28">D78+D76-D79</f>
        <v>190714.67064344822</v>
      </c>
      <c r="F78" s="4">
        <f t="shared" si="28"/>
        <v>182791.9262758721</v>
      </c>
      <c r="G78" s="4">
        <f t="shared" si="28"/>
        <v>174645.91311359862</v>
      </c>
      <c r="H78" s="4">
        <f t="shared" si="28"/>
        <v>166231.82228115908</v>
      </c>
      <c r="I78" s="4">
        <f t="shared" si="28"/>
        <v>194719.15173962613</v>
      </c>
      <c r="J78" s="4">
        <f t="shared" si="28"/>
        <v>219835.96035804247</v>
      </c>
      <c r="K78" s="4">
        <f t="shared" si="28"/>
        <v>204654.54666104211</v>
      </c>
      <c r="L78" s="4">
        <f t="shared" si="28"/>
        <v>189147.60716357888</v>
      </c>
      <c r="M78" s="4">
        <f t="shared" si="28"/>
        <v>173282.33503265076</v>
      </c>
      <c r="N78" s="4">
        <f t="shared" ref="N78" si="29">M78+M76-M79</f>
        <v>157018.56970412604</v>
      </c>
      <c r="O78" s="4">
        <f t="shared" ref="O78" si="30">N78+N76-N79</f>
        <v>140306.01225751289</v>
      </c>
      <c r="P78" s="4">
        <f t="shared" ref="P78" si="31">O78+O76-O79</f>
        <v>123079.83176206543</v>
      </c>
      <c r="Q78" s="4">
        <f t="shared" ref="Q78" si="32">P78+P76-P79</f>
        <v>105253.30419096485</v>
      </c>
      <c r="R78" s="4">
        <f t="shared" ref="R78" si="33">Q78+Q76-Q79</f>
        <v>86704.469752306002</v>
      </c>
      <c r="S78" s="4">
        <f t="shared" ref="S78" si="34">R78+R76-R79</f>
        <v>67249.183929184306</v>
      </c>
      <c r="T78" s="4">
        <f t="shared" ref="T78" si="35">S78+S76-S79</f>
        <v>44410.923860847121</v>
      </c>
      <c r="U78" s="4">
        <f t="shared" ref="U78" si="36">T78+T76-T79</f>
        <v>22119.17127525352</v>
      </c>
    </row>
    <row r="79" spans="1:21" x14ac:dyDescent="0.25">
      <c r="A79" s="8" t="s">
        <v>48</v>
      </c>
      <c r="C79" s="4">
        <f>(C78+C76)*(C4/C5)</f>
        <v>8828.2176822302335</v>
      </c>
      <c r="D79" s="4">
        <f t="shared" ref="D79:U79" si="37">(D78+D76)*(D4/D5)</f>
        <v>11268.222785432687</v>
      </c>
      <c r="E79" s="4">
        <f t="shared" si="37"/>
        <v>11478.299923131684</v>
      </c>
      <c r="F79" s="4">
        <f t="shared" si="37"/>
        <v>11701.568717829052</v>
      </c>
      <c r="G79" s="4">
        <f t="shared" si="37"/>
        <v>11969.646387995113</v>
      </c>
      <c r="H79" s="4">
        <f t="shared" si="37"/>
        <v>15068.226097088502</v>
      </c>
      <c r="I79" s="4">
        <f t="shared" si="37"/>
        <v>18438.746937139233</v>
      </c>
      <c r="J79" s="4">
        <f t="shared" si="37"/>
        <v>18736.969252555929</v>
      </c>
      <c r="K79" s="4">
        <f t="shared" si="37"/>
        <v>19062.495053018782</v>
      </c>
      <c r="L79" s="4">
        <f t="shared" si="37"/>
        <v>19420.827686483692</v>
      </c>
      <c r="M79" s="4">
        <f t="shared" si="37"/>
        <v>19819.320884080284</v>
      </c>
      <c r="N79" s="4">
        <f t="shared" si="37"/>
        <v>20268.113002168709</v>
      </c>
      <c r="O79" s="4">
        <f t="shared" si="37"/>
        <v>20781.73605100303</v>
      </c>
      <c r="P79" s="4">
        <f t="shared" si="37"/>
        <v>21382.08312665614</v>
      </c>
      <c r="Q79" s="4">
        <f t="shared" si="37"/>
        <v>22104.389994214405</v>
      </c>
      <c r="R79" s="4">
        <f t="shared" si="37"/>
        <v>23010.841378677265</v>
      </c>
      <c r="S79" s="4">
        <f t="shared" si="37"/>
        <v>22838.260068337186</v>
      </c>
      <c r="T79" s="4">
        <f t="shared" si="37"/>
        <v>22291.7525855936</v>
      </c>
      <c r="U79" s="4">
        <f t="shared" si="37"/>
        <v>22119.17127525352</v>
      </c>
    </row>
    <row r="80" spans="1:21" x14ac:dyDescent="0.25">
      <c r="A80" s="9" t="s">
        <v>50</v>
      </c>
      <c r="C80" s="4">
        <f>C77-C79</f>
        <v>247599.66046225507</v>
      </c>
      <c r="D80" s="4">
        <f t="shared" ref="D80:U80" si="38">D77-D79</f>
        <v>318320.49002814596</v>
      </c>
      <c r="E80" s="4">
        <f t="shared" si="38"/>
        <v>302587.05258802243</v>
      </c>
      <c r="F80" s="4">
        <f t="shared" si="38"/>
        <v>281748.23783599585</v>
      </c>
      <c r="G80" s="4">
        <f t="shared" si="38"/>
        <v>205474.06733179884</v>
      </c>
      <c r="H80" s="4">
        <f t="shared" si="38"/>
        <v>217450.44587533083</v>
      </c>
      <c r="I80" s="4">
        <f t="shared" si="38"/>
        <v>114704.44976137175</v>
      </c>
      <c r="J80" s="4">
        <f t="shared" si="38"/>
        <v>195102.06575306234</v>
      </c>
      <c r="K80" s="4">
        <f t="shared" si="38"/>
        <v>194776.53995259947</v>
      </c>
      <c r="L80" s="4">
        <f t="shared" si="38"/>
        <v>194418.20731913441</v>
      </c>
      <c r="M80" s="4">
        <f t="shared" si="38"/>
        <v>194019.71412153781</v>
      </c>
      <c r="N80" s="4">
        <f t="shared" si="38"/>
        <v>193570.92200344938</v>
      </c>
      <c r="O80" s="4">
        <f t="shared" si="38"/>
        <v>193057.29895461505</v>
      </c>
      <c r="P80" s="4">
        <f t="shared" si="38"/>
        <v>192456.95187896196</v>
      </c>
      <c r="Q80" s="4">
        <f t="shared" si="38"/>
        <v>191734.64501140369</v>
      </c>
      <c r="R80" s="4">
        <f t="shared" si="38"/>
        <v>110132.35531983373</v>
      </c>
      <c r="S80" s="4">
        <f t="shared" si="38"/>
        <v>37550.106880294989</v>
      </c>
      <c r="T80" s="4">
        <f t="shared" si="38"/>
        <v>-495.11676912787152</v>
      </c>
      <c r="U80" s="4">
        <f t="shared" si="38"/>
        <v>-21240.425334723386</v>
      </c>
    </row>
    <row r="81" spans="1:21" x14ac:dyDescent="0.25">
      <c r="A81" s="8" t="s">
        <v>33</v>
      </c>
      <c r="C81" s="4">
        <f>C80*Resumen!$B23</f>
        <v>24759.966046225509</v>
      </c>
      <c r="D81" s="4">
        <f>D80*Resumen!$B23</f>
        <v>31832.049002814598</v>
      </c>
      <c r="E81" s="4">
        <f>E80*Resumen!$B23</f>
        <v>30258.705258802245</v>
      </c>
      <c r="F81" s="4">
        <f>F80*Resumen!$B23</f>
        <v>28174.823783599586</v>
      </c>
      <c r="G81" s="4">
        <f>G80*Resumen!$B23</f>
        <v>20547.406733179887</v>
      </c>
      <c r="H81" s="4">
        <f>H80*Resumen!$B23</f>
        <v>21745.044587533084</v>
      </c>
      <c r="I81" s="4">
        <f>I80*Resumen!$B23</f>
        <v>11470.444976137176</v>
      </c>
      <c r="J81" s="4">
        <f>J80*Resumen!$B23</f>
        <v>19510.206575306234</v>
      </c>
      <c r="K81" s="4">
        <f>K80*Resumen!$B23</f>
        <v>19477.653995259949</v>
      </c>
      <c r="L81" s="4">
        <f>L80*Resumen!$B23</f>
        <v>19441.820731913442</v>
      </c>
      <c r="M81" s="4">
        <f>M80*Resumen!$B23</f>
        <v>19401.97141215378</v>
      </c>
      <c r="N81" s="4">
        <f>N80*Resumen!$B23</f>
        <v>19357.092200344938</v>
      </c>
      <c r="O81" s="4">
        <f>O80*Resumen!$B23</f>
        <v>19305.729895461507</v>
      </c>
      <c r="P81" s="4">
        <f>P80*Resumen!$B23</f>
        <v>19245.695187896195</v>
      </c>
      <c r="Q81" s="4">
        <f>Q80*Resumen!$B23</f>
        <v>19173.46450114037</v>
      </c>
      <c r="R81" s="4">
        <f>R80*Resumen!$B23</f>
        <v>11013.235531983373</v>
      </c>
      <c r="S81" s="4">
        <f>S80*Resumen!$B23</f>
        <v>3755.0106880294989</v>
      </c>
      <c r="T81" s="4">
        <f>T80*Resumen!$B23</f>
        <v>-49.511676912787152</v>
      </c>
      <c r="U81" s="4">
        <f>U80*Resumen!$B23</f>
        <v>-2124.0425334723386</v>
      </c>
    </row>
    <row r="82" spans="1:21" x14ac:dyDescent="0.25">
      <c r="A82" s="9" t="s">
        <v>59</v>
      </c>
      <c r="C82" s="4">
        <f>C80-C81</f>
        <v>222839.69441602955</v>
      </c>
      <c r="D82" s="4">
        <f t="shared" ref="D82:U82" si="39">D80-D81</f>
        <v>286488.44102533138</v>
      </c>
      <c r="E82" s="4">
        <f t="shared" si="39"/>
        <v>272328.34732922021</v>
      </c>
      <c r="F82" s="4">
        <f t="shared" si="39"/>
        <v>253573.41405239626</v>
      </c>
      <c r="G82" s="4">
        <f t="shared" si="39"/>
        <v>184926.66059861897</v>
      </c>
      <c r="H82" s="4">
        <f t="shared" si="39"/>
        <v>195705.40128779775</v>
      </c>
      <c r="I82" s="4">
        <f t="shared" si="39"/>
        <v>103234.00478523457</v>
      </c>
      <c r="J82" s="4">
        <f t="shared" si="39"/>
        <v>175591.85917775612</v>
      </c>
      <c r="K82" s="4">
        <f t="shared" si="39"/>
        <v>175298.88595733952</v>
      </c>
      <c r="L82" s="4">
        <f t="shared" si="39"/>
        <v>174976.38658722097</v>
      </c>
      <c r="M82" s="4">
        <f t="shared" si="39"/>
        <v>174617.74270938404</v>
      </c>
      <c r="N82" s="4">
        <f t="shared" si="39"/>
        <v>174213.82980310445</v>
      </c>
      <c r="O82" s="4">
        <f t="shared" si="39"/>
        <v>173751.56905915355</v>
      </c>
      <c r="P82" s="4">
        <f t="shared" si="39"/>
        <v>173211.25669106576</v>
      </c>
      <c r="Q82" s="4">
        <f t="shared" si="39"/>
        <v>172561.18051026331</v>
      </c>
      <c r="R82" s="4">
        <f t="shared" si="39"/>
        <v>99119.119787850359</v>
      </c>
      <c r="S82" s="4">
        <f t="shared" si="39"/>
        <v>33795.09619226549</v>
      </c>
      <c r="T82" s="4">
        <f t="shared" si="39"/>
        <v>-445.60509221508437</v>
      </c>
      <c r="U82" s="4">
        <f t="shared" si="39"/>
        <v>-19116.382801251049</v>
      </c>
    </row>
    <row r="83" spans="1:21" x14ac:dyDescent="0.25">
      <c r="A83" t="s">
        <v>60</v>
      </c>
      <c r="B83" t="s">
        <v>24</v>
      </c>
      <c r="C83" s="4">
        <f>C82-C76+C79</f>
        <v>228112.35654270422</v>
      </c>
      <c r="D83" s="4">
        <f t="shared" ref="D83:U83" si="40">D82-D76+D79</f>
        <v>294201.10825520853</v>
      </c>
      <c r="E83" s="4">
        <f t="shared" si="40"/>
        <v>280251.09169679636</v>
      </c>
      <c r="F83" s="4">
        <f t="shared" si="40"/>
        <v>261719.42721466973</v>
      </c>
      <c r="G83" s="4">
        <f t="shared" si="40"/>
        <v>193340.75143105851</v>
      </c>
      <c r="H83" s="4">
        <f t="shared" si="40"/>
        <v>167218.0718293307</v>
      </c>
      <c r="I83" s="4">
        <f t="shared" si="40"/>
        <v>78117.196166818248</v>
      </c>
      <c r="J83" s="4">
        <f t="shared" si="40"/>
        <v>190773.27287475648</v>
      </c>
      <c r="K83" s="4">
        <f t="shared" si="40"/>
        <v>190805.82545480275</v>
      </c>
      <c r="L83" s="4">
        <f t="shared" si="40"/>
        <v>190841.65871814909</v>
      </c>
      <c r="M83" s="4">
        <f t="shared" si="40"/>
        <v>190881.50803790876</v>
      </c>
      <c r="N83" s="4">
        <f t="shared" si="40"/>
        <v>190926.38724971761</v>
      </c>
      <c r="O83" s="4">
        <f t="shared" si="40"/>
        <v>190977.74955460103</v>
      </c>
      <c r="P83" s="4">
        <f t="shared" si="40"/>
        <v>191037.78426216633</v>
      </c>
      <c r="Q83" s="4">
        <f t="shared" si="40"/>
        <v>191110.01494892215</v>
      </c>
      <c r="R83" s="4">
        <f t="shared" si="40"/>
        <v>118574.40561097206</v>
      </c>
      <c r="S83" s="4">
        <f t="shared" si="40"/>
        <v>56633.356260602675</v>
      </c>
      <c r="T83" s="4">
        <f t="shared" si="40"/>
        <v>21846.147493378514</v>
      </c>
      <c r="U83" s="4">
        <f t="shared" si="40"/>
        <v>3002.788474002471</v>
      </c>
    </row>
    <row r="84" spans="1:21" x14ac:dyDescent="0.25">
      <c r="A84" s="35" t="s">
        <v>34</v>
      </c>
      <c r="B84" s="35"/>
      <c r="C84" s="4">
        <f>C83/(1+Resumen!$H6)^C2</f>
        <v>211215.14494694833</v>
      </c>
      <c r="D84" s="4">
        <f>D83/(1+Resumen!$H6)^D2</f>
        <v>252230.03108299768</v>
      </c>
      <c r="E84" s="4">
        <f>E83/(1+Resumen!$H6)^E2</f>
        <v>222472.35217001688</v>
      </c>
      <c r="F84" s="4">
        <f>F83/(1+Resumen!$H6)^F2</f>
        <v>192371.59205957074</v>
      </c>
      <c r="G84" s="4">
        <f>G83/(1+Resumen!$H6)^G2</f>
        <v>131584.46672585796</v>
      </c>
      <c r="H84" s="4">
        <f>H83/(1+Resumen!$H6)^H2</f>
        <v>105375.74993280151</v>
      </c>
      <c r="I84" s="4">
        <f>I83/(1+Resumen!$H6)^I2</f>
        <v>45580.633668146424</v>
      </c>
      <c r="J84" s="4">
        <f>J83/(1+Resumen!$H6)^J2</f>
        <v>103068.86332883572</v>
      </c>
      <c r="K84" s="4">
        <f>K83/(1+Resumen!$H6)^K2</f>
        <v>95450.417106430526</v>
      </c>
      <c r="L84" s="4">
        <f>L83/(1+Resumen!$H6)^L2</f>
        <v>88396.613573526367</v>
      </c>
      <c r="M84" s="4">
        <f>M83/(1+Resumen!$H6)^M2</f>
        <v>81865.806961984868</v>
      </c>
      <c r="N84" s="4">
        <f>N83/(1+Resumen!$H6)^N2</f>
        <v>75819.495265435427</v>
      </c>
      <c r="O84" s="4">
        <f>O83/(1+Resumen!$H6)^O2</f>
        <v>70222.122169796668</v>
      </c>
      <c r="P84" s="4">
        <f>P83/(1+Resumen!$H6)^P2</f>
        <v>65040.922969608073</v>
      </c>
      <c r="Q84" s="4">
        <f>Q83/(1+Resumen!$H6)^Q2</f>
        <v>60245.846948554936</v>
      </c>
      <c r="R84" s="4">
        <f>R83/(1+Resumen!$H6)^R2</f>
        <v>34610.738694555388</v>
      </c>
      <c r="S84" s="4">
        <f>S83/(1+Resumen!$H6)^S2</f>
        <v>15306.237813385671</v>
      </c>
      <c r="T84" s="4">
        <f>T83/(1+Resumen!$H6)^T2</f>
        <v>5466.9772001449101</v>
      </c>
      <c r="U84" s="4">
        <f>U83/(1+Resumen!$H6)^U2</f>
        <v>695.782315055656</v>
      </c>
    </row>
  </sheetData>
  <mergeCells count="10">
    <mergeCell ref="A48:B48"/>
    <mergeCell ref="A56:B56"/>
    <mergeCell ref="A67:B67"/>
    <mergeCell ref="A84:B84"/>
    <mergeCell ref="A6:B6"/>
    <mergeCell ref="A13:B13"/>
    <mergeCell ref="A20:B20"/>
    <mergeCell ref="A27:B27"/>
    <mergeCell ref="A34:B34"/>
    <mergeCell ref="A41:B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833B-DF25-4C1F-880C-59DCB13D640E}">
  <dimension ref="A1:C6"/>
  <sheetViews>
    <sheetView zoomScale="180" zoomScaleNormal="180" workbookViewId="0">
      <selection activeCell="C5" sqref="C5"/>
    </sheetView>
  </sheetViews>
  <sheetFormatPr baseColWidth="10" defaultRowHeight="15" x14ac:dyDescent="0.25"/>
  <cols>
    <col min="1" max="1" width="22.28515625" customWidth="1"/>
  </cols>
  <sheetData>
    <row r="1" spans="1:3" x14ac:dyDescent="0.25">
      <c r="C1" t="s">
        <v>78</v>
      </c>
    </row>
    <row r="2" spans="1:3" x14ac:dyDescent="0.25">
      <c r="A2" t="s">
        <v>61</v>
      </c>
      <c r="B2" t="s">
        <v>24</v>
      </c>
      <c r="C2" s="3">
        <f>Resumen!B41</f>
        <v>32545</v>
      </c>
    </row>
    <row r="3" spans="1:3" x14ac:dyDescent="0.25">
      <c r="A3" t="s">
        <v>62</v>
      </c>
      <c r="B3" t="s">
        <v>24</v>
      </c>
      <c r="C3" s="3">
        <v>0</v>
      </c>
    </row>
    <row r="4" spans="1:3" x14ac:dyDescent="0.25">
      <c r="A4" t="s">
        <v>63</v>
      </c>
      <c r="B4" t="s">
        <v>24</v>
      </c>
      <c r="C4" s="3">
        <f>Resumen!B46</f>
        <v>177253</v>
      </c>
    </row>
    <row r="5" spans="1:3" x14ac:dyDescent="0.25">
      <c r="A5" t="s">
        <v>64</v>
      </c>
      <c r="B5" t="s">
        <v>24</v>
      </c>
      <c r="C5" s="3">
        <f>SUM(H3:AC3)</f>
        <v>0</v>
      </c>
    </row>
    <row r="6" spans="1:3" x14ac:dyDescent="0.25">
      <c r="A6" t="s">
        <v>65</v>
      </c>
      <c r="B6" t="s">
        <v>24</v>
      </c>
      <c r="C6" s="3">
        <f>C2-C4</f>
        <v>-144708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Vares Base NAV</vt:lpstr>
      <vt:lpstr>Vares Ampliado NAV</vt:lpstr>
      <vt:lpstr>HQ 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Chico Cespedes</dc:creator>
  <cp:lastModifiedBy>Javier Chico Cespedes</cp:lastModifiedBy>
  <dcterms:created xsi:type="dcterms:W3CDTF">2023-02-23T10:59:48Z</dcterms:created>
  <dcterms:modified xsi:type="dcterms:W3CDTF">2023-10-26T22:12:00Z</dcterms:modified>
</cp:coreProperties>
</file>