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G:\My Drive\Tercio Capital\01 Análisis Empresas\EPAM\02 Model\"/>
    </mc:Choice>
  </mc:AlternateContent>
  <xr:revisionPtr revIDLastSave="0" documentId="13_ncr:1_{6027A92C-DEE8-4BE5-806B-D7DDF67F4CEB}" xr6:coauthVersionLast="47" xr6:coauthVersionMax="47" xr10:uidLastSave="{00000000-0000-0000-0000-000000000000}"/>
  <bookViews>
    <workbookView xWindow="-120" yWindow="-120" windowWidth="29040" windowHeight="15840" activeTab="1" xr2:uid="{AA33F169-1EAD-4556-98AB-E89CADE11FB9}"/>
  </bookViews>
  <sheets>
    <sheet name="Model Assumptions" sheetId="4" r:id="rId1"/>
    <sheet name="Financial Statemen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 i="4" l="1"/>
  <c r="X65" i="2"/>
  <c r="X23" i="2"/>
  <c r="W209" i="2"/>
  <c r="U192" i="2"/>
  <c r="U186" i="2"/>
  <c r="U180" i="2"/>
  <c r="U163" i="2"/>
  <c r="T178" i="2"/>
  <c r="U178" i="2" s="1"/>
  <c r="T166" i="2"/>
  <c r="U166" i="2" s="1"/>
  <c r="T165" i="2"/>
  <c r="U165" i="2" s="1"/>
  <c r="T162" i="2"/>
  <c r="U162" i="2" s="1"/>
  <c r="T154" i="2"/>
  <c r="U154" i="2" s="1"/>
  <c r="T147" i="2"/>
  <c r="U147" i="2" s="1"/>
  <c r="S186" i="2"/>
  <c r="T186" i="2" s="1"/>
  <c r="S183" i="2"/>
  <c r="T183" i="2" s="1"/>
  <c r="U183" i="2" s="1"/>
  <c r="S182" i="2"/>
  <c r="T182" i="2" s="1"/>
  <c r="U182" i="2" s="1"/>
  <c r="S181" i="2"/>
  <c r="T181" i="2" s="1"/>
  <c r="U181" i="2" s="1"/>
  <c r="S179" i="2"/>
  <c r="T179" i="2" s="1"/>
  <c r="U179" i="2" s="1"/>
  <c r="S178" i="2"/>
  <c r="S177" i="2"/>
  <c r="T177" i="2" s="1"/>
  <c r="U177" i="2" s="1"/>
  <c r="S176" i="2"/>
  <c r="T176" i="2" s="1"/>
  <c r="U176" i="2" s="1"/>
  <c r="S166" i="2"/>
  <c r="S164" i="2"/>
  <c r="T164" i="2" s="1"/>
  <c r="U164" i="2" s="1"/>
  <c r="S162" i="2"/>
  <c r="S161" i="2"/>
  <c r="T161" i="2" s="1"/>
  <c r="U161" i="2" s="1"/>
  <c r="S154" i="2"/>
  <c r="S158" i="2"/>
  <c r="T158" i="2" s="1"/>
  <c r="U158" i="2" s="1"/>
  <c r="S157" i="2"/>
  <c r="T157" i="2" s="1"/>
  <c r="U157" i="2" s="1"/>
  <c r="S156" i="2"/>
  <c r="T156" i="2" s="1"/>
  <c r="U156" i="2" s="1"/>
  <c r="S155" i="2"/>
  <c r="T155" i="2" s="1"/>
  <c r="U155" i="2" s="1"/>
  <c r="S152" i="2"/>
  <c r="T152" i="2" s="1"/>
  <c r="U152" i="2" s="1"/>
  <c r="S151" i="2"/>
  <c r="T151" i="2" s="1"/>
  <c r="U151" i="2" s="1"/>
  <c r="S150" i="2"/>
  <c r="T150" i="2" s="1"/>
  <c r="U150" i="2" s="1"/>
  <c r="S149" i="2"/>
  <c r="T149" i="2" s="1"/>
  <c r="U149" i="2" s="1"/>
  <c r="S148" i="2"/>
  <c r="T148" i="2" s="1"/>
  <c r="U148" i="2" s="1"/>
  <c r="S147" i="2"/>
  <c r="S146" i="2"/>
  <c r="T146" i="2" s="1"/>
  <c r="U146" i="2" s="1"/>
  <c r="S145" i="2"/>
  <c r="T145" i="2" s="1"/>
  <c r="U145" i="2" s="1"/>
  <c r="S144" i="2"/>
  <c r="T144" i="2" s="1"/>
  <c r="U144" i="2" s="1"/>
  <c r="R153" i="2"/>
  <c r="W153" i="2"/>
  <c r="W68" i="2"/>
  <c r="R68" i="2"/>
  <c r="S68" i="2"/>
  <c r="T68" i="2"/>
  <c r="U68" i="2"/>
  <c r="S28" i="2"/>
  <c r="T28" i="2"/>
  <c r="U28" i="2"/>
  <c r="W28" i="2"/>
  <c r="AA195" i="2" a="1"/>
  <c r="AA195" i="2" s="1"/>
  <c r="P209" i="2"/>
  <c r="P210" i="2" s="1"/>
  <c r="P211" i="2" s="1"/>
  <c r="O209" i="2"/>
  <c r="O210" i="2" s="1"/>
  <c r="O211" i="2" s="1"/>
  <c r="N209" i="2"/>
  <c r="N210" i="2" s="1"/>
  <c r="N211" i="2" s="1"/>
  <c r="M209" i="2"/>
  <c r="M210" i="2" s="1"/>
  <c r="M211" i="2" s="1"/>
  <c r="K209" i="2"/>
  <c r="K210" i="2" s="1"/>
  <c r="K211" i="2" s="1"/>
  <c r="J209" i="2"/>
  <c r="J210" i="2" s="1"/>
  <c r="J211" i="2" s="1"/>
  <c r="I209" i="2"/>
  <c r="I210" i="2" s="1"/>
  <c r="I211" i="2" s="1"/>
  <c r="H209" i="2"/>
  <c r="H210" i="2" s="1"/>
  <c r="H211" i="2" s="1"/>
  <c r="P205" i="2"/>
  <c r="O205" i="2"/>
  <c r="N205" i="2"/>
  <c r="M205" i="2"/>
  <c r="K205" i="2"/>
  <c r="K206" i="2" s="1"/>
  <c r="K207" i="2" s="1"/>
  <c r="J205" i="2"/>
  <c r="J206" i="2" s="1"/>
  <c r="J207" i="2" s="1"/>
  <c r="I205" i="2"/>
  <c r="I206" i="2" s="1"/>
  <c r="I207" i="2" s="1"/>
  <c r="H205" i="2"/>
  <c r="H206" i="2" s="1"/>
  <c r="H207" i="2" s="1"/>
  <c r="E196" i="2"/>
  <c r="E197" i="2" s="1"/>
  <c r="F196" i="2"/>
  <c r="F197" i="2" s="1"/>
  <c r="G196" i="2"/>
  <c r="G197" i="2" s="1"/>
  <c r="L196" i="2"/>
  <c r="L197" i="2" s="1"/>
  <c r="Q65" i="2"/>
  <c r="Q23" i="2"/>
  <c r="Q68" i="2"/>
  <c r="E68" i="2"/>
  <c r="F68" i="2"/>
  <c r="G68" i="2"/>
  <c r="L68" i="2"/>
  <c r="V68" i="2"/>
  <c r="V65" i="2"/>
  <c r="V23" i="2"/>
  <c r="AA65" i="2"/>
  <c r="AA23" i="2"/>
  <c r="F79" i="2"/>
  <c r="G79" i="2"/>
  <c r="L79" i="2"/>
  <c r="AA88" i="2"/>
  <c r="AA82" i="2"/>
  <c r="AA194" i="2"/>
  <c r="G140" i="2"/>
  <c r="L140" i="2"/>
  <c r="Q140" i="2"/>
  <c r="V140" i="2"/>
  <c r="E139" i="2"/>
  <c r="F139" i="2"/>
  <c r="G139" i="2"/>
  <c r="L139" i="2"/>
  <c r="Q139" i="2"/>
  <c r="V139" i="2"/>
  <c r="E138" i="2"/>
  <c r="F138" i="2"/>
  <c r="G138" i="2"/>
  <c r="L138" i="2"/>
  <c r="Q138" i="2"/>
  <c r="V138" i="2"/>
  <c r="E136" i="2"/>
  <c r="F136" i="2"/>
  <c r="G136" i="2"/>
  <c r="L136" i="2"/>
  <c r="Q136" i="2"/>
  <c r="V136" i="2"/>
  <c r="E157" i="2"/>
  <c r="E154" i="2"/>
  <c r="F157" i="2"/>
  <c r="F154" i="2"/>
  <c r="U153" i="2" l="1"/>
  <c r="S153" i="2"/>
  <c r="T153" i="2"/>
  <c r="G28" i="2"/>
  <c r="E107" i="2"/>
  <c r="E140" i="2" s="1"/>
  <c r="F107" i="2"/>
  <c r="F140" i="2" s="1"/>
  <c r="AB133" i="2"/>
  <c r="AA133" i="2"/>
  <c r="Z133" i="2"/>
  <c r="Y133" i="2"/>
  <c r="X133" i="2"/>
  <c r="W133" i="2"/>
  <c r="W134" i="2" s="1"/>
  <c r="U133" i="2"/>
  <c r="T133" i="2"/>
  <c r="S133" i="2"/>
  <c r="R133" i="2"/>
  <c r="R134" i="2" s="1"/>
  <c r="Q133" i="2"/>
  <c r="L133" i="2"/>
  <c r="L134" i="2" s="1"/>
  <c r="G133" i="2"/>
  <c r="G134" i="2" s="1"/>
  <c r="V133" i="2"/>
  <c r="F28" i="2"/>
  <c r="V28" i="2"/>
  <c r="Q28" i="2"/>
  <c r="L28" i="2"/>
  <c r="U128" i="2"/>
  <c r="T128" i="2"/>
  <c r="S128" i="2"/>
  <c r="R128" i="2"/>
  <c r="Q128" i="2"/>
  <c r="L128" i="2"/>
  <c r="G128" i="2"/>
  <c r="F128" i="2"/>
  <c r="E128" i="2"/>
  <c r="AB128" i="2"/>
  <c r="AA128" i="2"/>
  <c r="Z128" i="2"/>
  <c r="Y128" i="2"/>
  <c r="X128" i="2"/>
  <c r="W128" i="2"/>
  <c r="V128" i="2"/>
  <c r="Q153" i="2"/>
  <c r="P153" i="2"/>
  <c r="O153" i="2"/>
  <c r="N153" i="2"/>
  <c r="M153" i="2"/>
  <c r="L153" i="2"/>
  <c r="K153" i="2"/>
  <c r="J153" i="2"/>
  <c r="I153" i="2"/>
  <c r="H153" i="2"/>
  <c r="G153" i="2"/>
  <c r="F153" i="2"/>
  <c r="E153" i="2"/>
  <c r="AB153" i="2"/>
  <c r="AB159" i="2" s="1"/>
  <c r="AB169" i="2" s="1"/>
  <c r="AB170" i="2" s="1"/>
  <c r="AB171" i="2" s="1"/>
  <c r="AB172" i="2" s="1"/>
  <c r="AB173" i="2" s="1"/>
  <c r="AB174" i="2" s="1"/>
  <c r="AA153" i="2"/>
  <c r="AA159" i="2" s="1"/>
  <c r="AA169" i="2" s="1"/>
  <c r="AA170" i="2" s="1"/>
  <c r="AA171" i="2" s="1"/>
  <c r="AA172" i="2" s="1"/>
  <c r="AA173" i="2" s="1"/>
  <c r="AA174" i="2" s="1"/>
  <c r="V153" i="2"/>
  <c r="AA126" i="2"/>
  <c r="AB126" i="2" s="1"/>
  <c r="AA142" i="2"/>
  <c r="R74" i="2"/>
  <c r="R72" i="2"/>
  <c r="R65" i="2"/>
  <c r="R23" i="2"/>
  <c r="S74" i="2"/>
  <c r="S72" i="2"/>
  <c r="T74" i="2"/>
  <c r="T72" i="2"/>
  <c r="V74" i="2"/>
  <c r="V72" i="2"/>
  <c r="U74" i="2"/>
  <c r="U72" i="2"/>
  <c r="T130" i="2"/>
  <c r="S130" i="2"/>
  <c r="R130" i="2"/>
  <c r="Q130" i="2"/>
  <c r="L130" i="2"/>
  <c r="G130" i="2"/>
  <c r="F130" i="2"/>
  <c r="E130" i="2"/>
  <c r="T127" i="2"/>
  <c r="S127" i="2"/>
  <c r="R127" i="2"/>
  <c r="Q127" i="2"/>
  <c r="L127" i="2"/>
  <c r="G127" i="2"/>
  <c r="F127" i="2"/>
  <c r="E127" i="2"/>
  <c r="U65" i="2"/>
  <c r="U23" i="2"/>
  <c r="U130" i="2"/>
  <c r="V130" i="2"/>
  <c r="W127" i="2"/>
  <c r="V127" i="2"/>
  <c r="U127" i="2"/>
  <c r="V196" i="2"/>
  <c r="AA196" i="2" s="1"/>
  <c r="AA197" i="2" s="1"/>
  <c r="W65" i="2"/>
  <c r="W23" i="2"/>
  <c r="V38" i="2"/>
  <c r="V46" i="2" s="1"/>
  <c r="U38" i="2"/>
  <c r="U46" i="2" s="1"/>
  <c r="T38" i="2"/>
  <c r="T46" i="2" s="1"/>
  <c r="S38" i="2"/>
  <c r="S46" i="2" s="1"/>
  <c r="R38" i="2"/>
  <c r="R46" i="2" s="1"/>
  <c r="Q38" i="2"/>
  <c r="Q46" i="2" s="1"/>
  <c r="P38" i="2"/>
  <c r="P46" i="2" s="1"/>
  <c r="O38" i="2"/>
  <c r="O46" i="2" s="1"/>
  <c r="N38" i="2"/>
  <c r="N46" i="2" s="1"/>
  <c r="M38" i="2"/>
  <c r="M46" i="2" s="1"/>
  <c r="L38" i="2"/>
  <c r="L46" i="2" s="1"/>
  <c r="K38" i="2"/>
  <c r="K46" i="2" s="1"/>
  <c r="J38" i="2"/>
  <c r="J46" i="2" s="1"/>
  <c r="I38" i="2"/>
  <c r="I46" i="2" s="1"/>
  <c r="H38" i="2"/>
  <c r="H46" i="2" s="1"/>
  <c r="G38" i="2"/>
  <c r="G46" i="2" s="1"/>
  <c r="F38" i="2"/>
  <c r="F46" i="2" s="1"/>
  <c r="E38" i="2"/>
  <c r="E46" i="2" s="1"/>
  <c r="V31" i="2"/>
  <c r="V36" i="2" s="1"/>
  <c r="U31" i="2"/>
  <c r="U36" i="2" s="1"/>
  <c r="T31" i="2"/>
  <c r="T36" i="2" s="1"/>
  <c r="S31" i="2"/>
  <c r="S36" i="2" s="1"/>
  <c r="R31" i="2"/>
  <c r="R36" i="2" s="1"/>
  <c r="Q31" i="2"/>
  <c r="Q36" i="2" s="1"/>
  <c r="P31" i="2"/>
  <c r="P36" i="2" s="1"/>
  <c r="O31" i="2"/>
  <c r="O36" i="2" s="1"/>
  <c r="N31" i="2"/>
  <c r="N36" i="2" s="1"/>
  <c r="M31" i="2"/>
  <c r="M36" i="2" s="1"/>
  <c r="L31" i="2"/>
  <c r="L36" i="2" s="1"/>
  <c r="K31" i="2"/>
  <c r="K36" i="2" s="1"/>
  <c r="J31" i="2"/>
  <c r="J36" i="2" s="1"/>
  <c r="I31" i="2"/>
  <c r="I36" i="2" s="1"/>
  <c r="H31" i="2"/>
  <c r="H36" i="2" s="1"/>
  <c r="G31" i="2"/>
  <c r="G36" i="2" s="1"/>
  <c r="F31" i="2"/>
  <c r="F36" i="2" s="1"/>
  <c r="E31" i="2"/>
  <c r="E36" i="2" s="1"/>
  <c r="W38" i="2"/>
  <c r="W46" i="2" s="1"/>
  <c r="W31" i="2"/>
  <c r="W36" i="2" s="1"/>
  <c r="AA30" i="2"/>
  <c r="AB30" i="2" s="1"/>
  <c r="AA70" i="2"/>
  <c r="AB70" i="2" s="1"/>
  <c r="W130" i="2"/>
  <c r="AA3" i="2"/>
  <c r="W196" i="2"/>
  <c r="S196" i="2"/>
  <c r="R196" i="2"/>
  <c r="Q196" i="2"/>
  <c r="W195" i="2" a="1"/>
  <c r="W195" i="2" s="1"/>
  <c r="U195" i="2" a="1"/>
  <c r="U195" i="2" s="1"/>
  <c r="T195" i="2" a="1"/>
  <c r="T195" i="2" s="1"/>
  <c r="S195" i="2" a="1"/>
  <c r="S195" i="2" s="1"/>
  <c r="R195" i="2" a="1"/>
  <c r="R195" i="2" s="1"/>
  <c r="AA184" i="2"/>
  <c r="Z184" i="2"/>
  <c r="Y184" i="2"/>
  <c r="X184" i="2"/>
  <c r="W184" i="2"/>
  <c r="AA167" i="2"/>
  <c r="Z167" i="2"/>
  <c r="Y167" i="2"/>
  <c r="X167" i="2"/>
  <c r="Z159" i="2"/>
  <c r="Z169" i="2" s="1"/>
  <c r="Z170" i="2" s="1"/>
  <c r="Z171" i="2" s="1"/>
  <c r="Z172" i="2" s="1"/>
  <c r="Z173" i="2" s="1"/>
  <c r="Z174" i="2" s="1"/>
  <c r="Y159" i="2"/>
  <c r="Y169" i="2" s="1"/>
  <c r="Y170" i="2" s="1"/>
  <c r="Y171" i="2" s="1"/>
  <c r="Y172" i="2" s="1"/>
  <c r="Y173" i="2" s="1"/>
  <c r="Y174" i="2" s="1"/>
  <c r="X159" i="2"/>
  <c r="X169" i="2" s="1"/>
  <c r="X170" i="2" s="1"/>
  <c r="X171" i="2" s="1"/>
  <c r="X172" i="2" s="1"/>
  <c r="X173" i="2" s="1"/>
  <c r="X174" i="2" s="1"/>
  <c r="W167" i="2"/>
  <c r="Q79" i="2"/>
  <c r="V79" i="2"/>
  <c r="W79" i="2"/>
  <c r="W74" i="2"/>
  <c r="W72" i="2"/>
  <c r="Z10" i="2"/>
  <c r="Z11" i="2" s="1"/>
  <c r="Y10" i="2"/>
  <c r="Y11" i="2" s="1"/>
  <c r="Z7" i="2"/>
  <c r="Y7" i="2"/>
  <c r="X6" i="2"/>
  <c r="X10" i="2" s="1"/>
  <c r="W6" i="2"/>
  <c r="W7" i="2" s="1"/>
  <c r="W71" i="2" s="1"/>
  <c r="AB118" i="2"/>
  <c r="AA118" i="2"/>
  <c r="Z118" i="2"/>
  <c r="Y118" i="2"/>
  <c r="X118" i="2"/>
  <c r="W118" i="2"/>
  <c r="AB112" i="2"/>
  <c r="AA112" i="2"/>
  <c r="Z112" i="2"/>
  <c r="Y112" i="2"/>
  <c r="X112" i="2"/>
  <c r="W112" i="2"/>
  <c r="AB94" i="2"/>
  <c r="AA94" i="2"/>
  <c r="Z94" i="2"/>
  <c r="Y94" i="2"/>
  <c r="X94" i="2"/>
  <c r="W94" i="2"/>
  <c r="AB102" i="2"/>
  <c r="AA102" i="2"/>
  <c r="Z102" i="2"/>
  <c r="Y102" i="2"/>
  <c r="X102" i="2"/>
  <c r="W102" i="2"/>
  <c r="AB194" i="2"/>
  <c r="V167" i="2"/>
  <c r="V184" i="2"/>
  <c r="T196" i="2"/>
  <c r="V6" i="2"/>
  <c r="V118" i="2"/>
  <c r="V112" i="2"/>
  <c r="V94" i="2"/>
  <c r="V102" i="2"/>
  <c r="AB82" i="2"/>
  <c r="Q74" i="2"/>
  <c r="L74" i="2"/>
  <c r="G74" i="2"/>
  <c r="F74" i="2"/>
  <c r="E74" i="2"/>
  <c r="Q72" i="2"/>
  <c r="O72" i="2"/>
  <c r="M72" i="2"/>
  <c r="L72" i="2"/>
  <c r="K72" i="2"/>
  <c r="J72" i="2"/>
  <c r="I72" i="2"/>
  <c r="H72" i="2"/>
  <c r="G72" i="2"/>
  <c r="F72" i="2"/>
  <c r="E72" i="2"/>
  <c r="P118" i="2"/>
  <c r="P112" i="2"/>
  <c r="P102" i="2"/>
  <c r="P94" i="2"/>
  <c r="E184" i="2"/>
  <c r="E167" i="2"/>
  <c r="F184" i="2"/>
  <c r="F167" i="2"/>
  <c r="E6" i="2"/>
  <c r="E10" i="2" s="1"/>
  <c r="F6" i="2"/>
  <c r="E118" i="2"/>
  <c r="F118" i="2"/>
  <c r="G112" i="2"/>
  <c r="E94" i="2"/>
  <c r="E112" i="2" l="1"/>
  <c r="E123" i="2" s="1"/>
  <c r="F112" i="2"/>
  <c r="F123" i="2" s="1"/>
  <c r="E133" i="2"/>
  <c r="E134" i="2" s="1"/>
  <c r="F133" i="2"/>
  <c r="F134" i="2" s="1"/>
  <c r="F129" i="2"/>
  <c r="F198" i="2" s="1"/>
  <c r="F199" i="2" s="1"/>
  <c r="Q129" i="2"/>
  <c r="R129" i="2"/>
  <c r="T129" i="2"/>
  <c r="G129" i="2"/>
  <c r="G198" i="2" s="1"/>
  <c r="G199" i="2" s="1"/>
  <c r="S129" i="2"/>
  <c r="E129" i="2"/>
  <c r="E198" i="2" s="1"/>
  <c r="E199" i="2" s="1"/>
  <c r="R135" i="2"/>
  <c r="T135" i="2"/>
  <c r="S135" i="2"/>
  <c r="L129" i="2"/>
  <c r="L198" i="2" s="1"/>
  <c r="L199" i="2" s="1"/>
  <c r="V129" i="2"/>
  <c r="Q134" i="2"/>
  <c r="U129" i="2"/>
  <c r="W135" i="2"/>
  <c r="U135" i="2"/>
  <c r="S134" i="2"/>
  <c r="T134" i="2"/>
  <c r="U134" i="2"/>
  <c r="V134" i="2"/>
  <c r="R48" i="2"/>
  <c r="R49" i="2" s="1"/>
  <c r="E48" i="2"/>
  <c r="E52" i="2" s="1"/>
  <c r="Q48" i="2"/>
  <c r="Q52" i="2" s="1"/>
  <c r="P48" i="2"/>
  <c r="P52" i="2" s="1"/>
  <c r="K48" i="2"/>
  <c r="K49" i="2" s="1"/>
  <c r="L48" i="2"/>
  <c r="L52" i="2" s="1"/>
  <c r="M48" i="2"/>
  <c r="M49" i="2" s="1"/>
  <c r="J48" i="2"/>
  <c r="J52" i="2" s="1"/>
  <c r="O48" i="2"/>
  <c r="O52" i="2" s="1"/>
  <c r="S48" i="2"/>
  <c r="S49" i="2" s="1"/>
  <c r="H48" i="2"/>
  <c r="H49" i="2" s="1"/>
  <c r="T48" i="2"/>
  <c r="T49" i="2" s="1"/>
  <c r="I48" i="2"/>
  <c r="I49" i="2" s="1"/>
  <c r="N48" i="2"/>
  <c r="N49" i="2" s="1"/>
  <c r="F48" i="2"/>
  <c r="F49" i="2" s="1"/>
  <c r="U48" i="2"/>
  <c r="U52" i="2" s="1"/>
  <c r="V48" i="2"/>
  <c r="V49" i="2" s="1"/>
  <c r="G48" i="2"/>
  <c r="W48" i="2"/>
  <c r="W129" i="2"/>
  <c r="E11" i="2"/>
  <c r="E73" i="2" s="1"/>
  <c r="E7" i="2"/>
  <c r="E71" i="2" s="1"/>
  <c r="F7" i="2"/>
  <c r="F71" i="2" s="1"/>
  <c r="V7" i="2"/>
  <c r="V71" i="2" s="1"/>
  <c r="Q197" i="2"/>
  <c r="X123" i="2"/>
  <c r="X124" i="2" s="1"/>
  <c r="R197" i="2"/>
  <c r="S197" i="2"/>
  <c r="Y188" i="2"/>
  <c r="V197" i="2"/>
  <c r="W197" i="2"/>
  <c r="W210" i="2" s="1"/>
  <c r="W211" i="2" s="1"/>
  <c r="W123" i="2"/>
  <c r="AA188" i="2"/>
  <c r="W104" i="2"/>
  <c r="X188" i="2"/>
  <c r="Z188" i="2"/>
  <c r="Y123" i="2"/>
  <c r="Y124" i="2" s="1"/>
  <c r="AB123" i="2"/>
  <c r="O80" i="2"/>
  <c r="Z123" i="2"/>
  <c r="Z124" i="2" s="1"/>
  <c r="T197" i="2"/>
  <c r="AA123" i="2"/>
  <c r="U80" i="2"/>
  <c r="Y14" i="2"/>
  <c r="Y15" i="2" s="1"/>
  <c r="W80" i="2"/>
  <c r="N80" i="2"/>
  <c r="X7" i="2"/>
  <c r="P80" i="2"/>
  <c r="S80" i="2"/>
  <c r="U196" i="2"/>
  <c r="U197" i="2" s="1"/>
  <c r="T80" i="2"/>
  <c r="X11" i="2"/>
  <c r="X14" i="2"/>
  <c r="Z14" i="2"/>
  <c r="W10" i="2"/>
  <c r="V104" i="2"/>
  <c r="V10" i="2"/>
  <c r="V11" i="2" s="1"/>
  <c r="V73" i="2" s="1"/>
  <c r="V135" i="2"/>
  <c r="V123" i="2"/>
  <c r="P72" i="2"/>
  <c r="N72" i="2"/>
  <c r="Q135" i="2"/>
  <c r="L135" i="2"/>
  <c r="P104" i="2"/>
  <c r="P123" i="2"/>
  <c r="F10" i="2"/>
  <c r="E14" i="2"/>
  <c r="E15" i="2" l="1"/>
  <c r="E85" i="2"/>
  <c r="E86" i="2"/>
  <c r="F135" i="2"/>
  <c r="G135" i="2"/>
  <c r="F76" i="2"/>
  <c r="G76" i="2"/>
  <c r="V124" i="2"/>
  <c r="T76" i="2"/>
  <c r="R76" i="2"/>
  <c r="T132" i="2"/>
  <c r="S76" i="2"/>
  <c r="S132" i="2"/>
  <c r="U76" i="2"/>
  <c r="V76" i="2"/>
  <c r="L76" i="2"/>
  <c r="V198" i="2"/>
  <c r="V132" i="2"/>
  <c r="W198" i="2"/>
  <c r="W199" i="2" s="1"/>
  <c r="W76" i="2"/>
  <c r="Q76" i="2"/>
  <c r="F132" i="2"/>
  <c r="R132" i="2"/>
  <c r="U132" i="2"/>
  <c r="M198" i="2"/>
  <c r="M199" i="2" s="1"/>
  <c r="Q198" i="2"/>
  <c r="Q199" i="2" s="1"/>
  <c r="Q132" i="2"/>
  <c r="N198" i="2"/>
  <c r="N199" i="2" s="1"/>
  <c r="P198" i="2"/>
  <c r="P199" i="2" s="1"/>
  <c r="O198" i="2"/>
  <c r="O199" i="2" s="1"/>
  <c r="G132" i="2"/>
  <c r="E131" i="2"/>
  <c r="E132" i="2"/>
  <c r="L132" i="2"/>
  <c r="R52" i="2"/>
  <c r="R53" i="2" s="1"/>
  <c r="O49" i="2"/>
  <c r="O53" i="2"/>
  <c r="O61" i="2"/>
  <c r="J53" i="2"/>
  <c r="J61" i="2"/>
  <c r="L53" i="2"/>
  <c r="L61" i="2"/>
  <c r="P53" i="2"/>
  <c r="P61" i="2"/>
  <c r="U53" i="2"/>
  <c r="U61" i="2"/>
  <c r="Q53" i="2"/>
  <c r="Q61" i="2"/>
  <c r="E53" i="2"/>
  <c r="E61" i="2"/>
  <c r="E49" i="2"/>
  <c r="P49" i="2"/>
  <c r="Q49" i="2"/>
  <c r="J49" i="2"/>
  <c r="L49" i="2"/>
  <c r="H52" i="2"/>
  <c r="T52" i="2"/>
  <c r="I52" i="2"/>
  <c r="M52" i="2"/>
  <c r="F52" i="2"/>
  <c r="K52" i="2"/>
  <c r="S52" i="2"/>
  <c r="N52" i="2"/>
  <c r="U49" i="2"/>
  <c r="V52" i="2"/>
  <c r="G49" i="2"/>
  <c r="G52" i="2"/>
  <c r="W49" i="2"/>
  <c r="W52" i="2"/>
  <c r="W132" i="2"/>
  <c r="F11" i="2"/>
  <c r="F73" i="2" s="1"/>
  <c r="W124" i="2"/>
  <c r="R198" i="2"/>
  <c r="R199" i="2" s="1"/>
  <c r="S198" i="2"/>
  <c r="S199" i="2" s="1"/>
  <c r="T198" i="2"/>
  <c r="T199" i="2" s="1"/>
  <c r="Y20" i="2"/>
  <c r="Y21" i="2" s="1"/>
  <c r="W11" i="2"/>
  <c r="W73" i="2" s="1"/>
  <c r="W14" i="2"/>
  <c r="W77" i="2" s="1"/>
  <c r="Z15" i="2"/>
  <c r="Z20" i="2"/>
  <c r="Z21" i="2" s="1"/>
  <c r="X20" i="2"/>
  <c r="X21" i="2" s="1"/>
  <c r="X15" i="2"/>
  <c r="F131" i="2"/>
  <c r="V14" i="2"/>
  <c r="E75" i="2"/>
  <c r="E77" i="2"/>
  <c r="P124" i="2"/>
  <c r="F14" i="2"/>
  <c r="E20" i="2"/>
  <c r="M206" i="2" l="1"/>
  <c r="M207" i="2" s="1"/>
  <c r="N206" i="2"/>
  <c r="N207" i="2" s="1"/>
  <c r="O206" i="2"/>
  <c r="O207" i="2" s="1"/>
  <c r="P206" i="2"/>
  <c r="P207" i="2" s="1"/>
  <c r="V199" i="2"/>
  <c r="AA198" i="2"/>
  <c r="AA199" i="2" s="1"/>
  <c r="E143" i="2"/>
  <c r="E159" i="2" s="1"/>
  <c r="E169" i="2" s="1"/>
  <c r="E84" i="2"/>
  <c r="V77" i="2"/>
  <c r="V86" i="2"/>
  <c r="V85" i="2"/>
  <c r="F15" i="2"/>
  <c r="F75" i="2" s="1"/>
  <c r="F85" i="2"/>
  <c r="F86" i="2"/>
  <c r="R61" i="2"/>
  <c r="R62" i="2" s="1"/>
  <c r="E62" i="2"/>
  <c r="E64" i="2"/>
  <c r="E66" i="2" s="1"/>
  <c r="F53" i="2"/>
  <c r="F61" i="2"/>
  <c r="Q62" i="2"/>
  <c r="Q64" i="2"/>
  <c r="Q66" i="2" s="1"/>
  <c r="I53" i="2"/>
  <c r="I61" i="2"/>
  <c r="U62" i="2"/>
  <c r="U64" i="2"/>
  <c r="U66" i="2" s="1"/>
  <c r="J62" i="2"/>
  <c r="J64" i="2"/>
  <c r="P64" i="2"/>
  <c r="P62" i="2"/>
  <c r="G53" i="2"/>
  <c r="G61" i="2"/>
  <c r="K53" i="2"/>
  <c r="K61" i="2"/>
  <c r="H53" i="2"/>
  <c r="H61" i="2"/>
  <c r="L64" i="2"/>
  <c r="L66" i="2" s="1"/>
  <c r="L62" i="2"/>
  <c r="W53" i="2"/>
  <c r="W61" i="2"/>
  <c r="T53" i="2"/>
  <c r="T61" i="2"/>
  <c r="V53" i="2"/>
  <c r="V61" i="2"/>
  <c r="N53" i="2"/>
  <c r="N61" i="2"/>
  <c r="S53" i="2"/>
  <c r="S61" i="2"/>
  <c r="O62" i="2"/>
  <c r="O64" i="2"/>
  <c r="M53" i="2"/>
  <c r="M61" i="2"/>
  <c r="V15" i="2"/>
  <c r="V75" i="2" s="1"/>
  <c r="U198" i="2"/>
  <c r="U199" i="2" s="1"/>
  <c r="W15" i="2"/>
  <c r="W75" i="2" s="1"/>
  <c r="W20" i="2"/>
  <c r="V20" i="2"/>
  <c r="E21" i="2"/>
  <c r="E24" i="2" s="1"/>
  <c r="F77" i="2"/>
  <c r="F20" i="2"/>
  <c r="F94" i="2"/>
  <c r="E102" i="2"/>
  <c r="E104" i="2" s="1"/>
  <c r="E124" i="2" s="1"/>
  <c r="F102" i="2"/>
  <c r="Q6" i="2"/>
  <c r="P6" i="2"/>
  <c r="P7" i="2" s="1"/>
  <c r="P71" i="2" s="1"/>
  <c r="L6" i="2"/>
  <c r="W21" i="2" l="1"/>
  <c r="W24" i="2" s="1"/>
  <c r="W143" i="2"/>
  <c r="W159" i="2" s="1"/>
  <c r="W169" i="2" s="1"/>
  <c r="W170" i="2" s="1"/>
  <c r="W171" i="2" s="1"/>
  <c r="W172" i="2" s="1"/>
  <c r="W173" i="2" s="1"/>
  <c r="W174" i="2" s="1"/>
  <c r="E201" i="2"/>
  <c r="E202" i="2" s="1"/>
  <c r="E203" i="2" s="1"/>
  <c r="E170" i="2"/>
  <c r="E171" i="2" s="1"/>
  <c r="F143" i="2"/>
  <c r="F159" i="2" s="1"/>
  <c r="F169" i="2" s="1"/>
  <c r="F84" i="2"/>
  <c r="E188" i="2"/>
  <c r="E191" i="2" s="1"/>
  <c r="E192" i="2" s="1"/>
  <c r="V143" i="2"/>
  <c r="V159" i="2" s="1"/>
  <c r="V169" i="2" s="1"/>
  <c r="V84" i="2"/>
  <c r="V83" i="2"/>
  <c r="E83" i="2"/>
  <c r="R64" i="2"/>
  <c r="R66" i="2" s="1"/>
  <c r="W62" i="2"/>
  <c r="W64" i="2"/>
  <c r="W66" i="2" s="1"/>
  <c r="S62" i="2"/>
  <c r="S64" i="2"/>
  <c r="S66" i="2" s="1"/>
  <c r="N64" i="2"/>
  <c r="N62" i="2"/>
  <c r="H62" i="2"/>
  <c r="H64" i="2"/>
  <c r="I62" i="2"/>
  <c r="I64" i="2"/>
  <c r="K62" i="2"/>
  <c r="K64" i="2"/>
  <c r="V62" i="2"/>
  <c r="V64" i="2"/>
  <c r="V66" i="2" s="1"/>
  <c r="G62" i="2"/>
  <c r="G64" i="2"/>
  <c r="G66" i="2" s="1"/>
  <c r="F62" i="2"/>
  <c r="F64" i="2"/>
  <c r="F66" i="2" s="1"/>
  <c r="M64" i="2"/>
  <c r="M62" i="2"/>
  <c r="T62" i="2"/>
  <c r="T64" i="2"/>
  <c r="T66" i="2" s="1"/>
  <c r="L7" i="2"/>
  <c r="L71" i="2" s="1"/>
  <c r="Q7" i="2"/>
  <c r="Q71" i="2" s="1"/>
  <c r="V21" i="2"/>
  <c r="V24" i="2" s="1"/>
  <c r="F21" i="2"/>
  <c r="F24" i="2" s="1"/>
  <c r="F104" i="2"/>
  <c r="F124" i="2" s="1"/>
  <c r="AB6" i="2"/>
  <c r="AA6" i="2"/>
  <c r="U6" i="2"/>
  <c r="U7" i="2" s="1"/>
  <c r="U71" i="2" s="1"/>
  <c r="T6" i="2"/>
  <c r="T7" i="2" s="1"/>
  <c r="T71" i="2" s="1"/>
  <c r="S6" i="2"/>
  <c r="S7" i="2" s="1"/>
  <c r="S71" i="2" s="1"/>
  <c r="R6" i="2"/>
  <c r="R7" i="2" s="1"/>
  <c r="R71" i="2" s="1"/>
  <c r="O6" i="2"/>
  <c r="O7" i="2" s="1"/>
  <c r="O71" i="2" s="1"/>
  <c r="N6" i="2"/>
  <c r="N7" i="2" s="1"/>
  <c r="N71" i="2" s="1"/>
  <c r="M6" i="2"/>
  <c r="M7" i="2" s="1"/>
  <c r="M71" i="2" s="1"/>
  <c r="K6" i="2"/>
  <c r="K7" i="2" s="1"/>
  <c r="K71" i="2" s="1"/>
  <c r="J6" i="2"/>
  <c r="J7" i="2" s="1"/>
  <c r="J71" i="2" s="1"/>
  <c r="I6" i="2"/>
  <c r="I7" i="2" s="1"/>
  <c r="I71" i="2" s="1"/>
  <c r="H6" i="2"/>
  <c r="H7" i="2" s="1"/>
  <c r="H71" i="2" s="1"/>
  <c r="G6" i="2"/>
  <c r="U112" i="2"/>
  <c r="S112" i="2"/>
  <c r="R112" i="2"/>
  <c r="Q112" i="2"/>
  <c r="O112" i="2"/>
  <c r="N112" i="2"/>
  <c r="M112" i="2"/>
  <c r="L112" i="2"/>
  <c r="K112" i="2"/>
  <c r="J112" i="2"/>
  <c r="I112" i="2"/>
  <c r="H112" i="2"/>
  <c r="T112" i="2"/>
  <c r="W188" i="2" l="1"/>
  <c r="E172" i="2"/>
  <c r="E173" i="2" s="1"/>
  <c r="E205" i="2"/>
  <c r="E206" i="2" s="1"/>
  <c r="E207" i="2" s="1"/>
  <c r="F201" i="2"/>
  <c r="F202" i="2" s="1"/>
  <c r="F203" i="2" s="1"/>
  <c r="F170" i="2"/>
  <c r="F171" i="2" s="1"/>
  <c r="F190" i="2"/>
  <c r="F83" i="2"/>
  <c r="F188" i="2"/>
  <c r="V188" i="2"/>
  <c r="G7" i="2"/>
  <c r="G71" i="2" s="1"/>
  <c r="AB7" i="2"/>
  <c r="AB10" i="2"/>
  <c r="AA7" i="2"/>
  <c r="AA10" i="2"/>
  <c r="V201" i="2" l="1"/>
  <c r="V170" i="2"/>
  <c r="V171" i="2" s="1"/>
  <c r="F172" i="2"/>
  <c r="F173" i="2" s="1"/>
  <c r="F205" i="2"/>
  <c r="F206" i="2" s="1"/>
  <c r="F207" i="2" s="1"/>
  <c r="E174" i="2"/>
  <c r="E209" i="2"/>
  <c r="E210" i="2" s="1"/>
  <c r="E211" i="2" s="1"/>
  <c r="F191" i="2"/>
  <c r="F192" i="2" s="1"/>
  <c r="AB14" i="2"/>
  <c r="AB11" i="2"/>
  <c r="AA11" i="2"/>
  <c r="AA14" i="2"/>
  <c r="Q184" i="2"/>
  <c r="Q167" i="2"/>
  <c r="AB167" i="2"/>
  <c r="T167" i="2"/>
  <c r="S167" i="2"/>
  <c r="R167" i="2"/>
  <c r="P167" i="2"/>
  <c r="O167" i="2"/>
  <c r="N167" i="2"/>
  <c r="M167" i="2"/>
  <c r="L167" i="2"/>
  <c r="K167" i="2"/>
  <c r="J167" i="2"/>
  <c r="I167" i="2"/>
  <c r="H167" i="2"/>
  <c r="G167" i="2"/>
  <c r="AB184" i="2"/>
  <c r="AB142" i="2"/>
  <c r="AB88" i="2"/>
  <c r="AB3" i="2"/>
  <c r="H10" i="2"/>
  <c r="H184" i="2"/>
  <c r="I184" i="2"/>
  <c r="J184" i="2"/>
  <c r="K184" i="2"/>
  <c r="H118" i="2"/>
  <c r="H102" i="2"/>
  <c r="H94" i="2"/>
  <c r="I118" i="2"/>
  <c r="I102" i="2"/>
  <c r="I94" i="2"/>
  <c r="J118" i="2"/>
  <c r="J102" i="2"/>
  <c r="J94" i="2"/>
  <c r="K118" i="2"/>
  <c r="K102" i="2"/>
  <c r="K94" i="2"/>
  <c r="G184" i="2"/>
  <c r="L184" i="2"/>
  <c r="M184" i="2"/>
  <c r="M118" i="2"/>
  <c r="L118" i="2"/>
  <c r="G118" i="2"/>
  <c r="M102" i="2"/>
  <c r="L102" i="2"/>
  <c r="G102" i="2"/>
  <c r="M94" i="2"/>
  <c r="L94" i="2"/>
  <c r="G94" i="2"/>
  <c r="C2" i="2"/>
  <c r="V202" i="2" l="1"/>
  <c r="V203" i="2" s="1"/>
  <c r="AA201" i="2"/>
  <c r="AA202" i="2" s="1"/>
  <c r="AA203" i="2" s="1"/>
  <c r="F174" i="2"/>
  <c r="F209" i="2"/>
  <c r="F210" i="2" s="1"/>
  <c r="F211" i="2" s="1"/>
  <c r="G190" i="2"/>
  <c r="V172" i="2"/>
  <c r="H11" i="2"/>
  <c r="H73" i="2" s="1"/>
  <c r="U167" i="2"/>
  <c r="AA20" i="2"/>
  <c r="AA21" i="2" s="1"/>
  <c r="AA15" i="2"/>
  <c r="AB15" i="2"/>
  <c r="AB20" i="2"/>
  <c r="AB21" i="2" s="1"/>
  <c r="AB188" i="2"/>
  <c r="M123" i="2"/>
  <c r="G123" i="2"/>
  <c r="H123" i="2"/>
  <c r="J123" i="2"/>
  <c r="K123" i="2"/>
  <c r="I123" i="2"/>
  <c r="L123" i="2"/>
  <c r="AB104" i="2"/>
  <c r="AB124" i="2" s="1"/>
  <c r="AA104" i="2"/>
  <c r="AA124" i="2" s="1"/>
  <c r="K10" i="2"/>
  <c r="L10" i="2"/>
  <c r="L11" i="2" s="1"/>
  <c r="I104" i="2"/>
  <c r="J10" i="2"/>
  <c r="K104" i="2"/>
  <c r="H104" i="2"/>
  <c r="I10" i="2"/>
  <c r="J104" i="2"/>
  <c r="H14" i="2"/>
  <c r="H86" i="2" s="1"/>
  <c r="M10" i="2"/>
  <c r="G10" i="2"/>
  <c r="M104" i="2"/>
  <c r="L104" i="2"/>
  <c r="K2" i="4"/>
  <c r="G104" i="2"/>
  <c r="V173" i="2" l="1"/>
  <c r="V205" i="2"/>
  <c r="K11" i="2"/>
  <c r="K73" i="2" s="1"/>
  <c r="M11" i="2"/>
  <c r="M73" i="2" s="1"/>
  <c r="G131" i="2"/>
  <c r="G11" i="2"/>
  <c r="G73" i="2" s="1"/>
  <c r="I11" i="2"/>
  <c r="I73" i="2" s="1"/>
  <c r="J11" i="2"/>
  <c r="J73" i="2" s="1"/>
  <c r="H20" i="2"/>
  <c r="H15" i="2"/>
  <c r="H75" i="2" s="1"/>
  <c r="L73" i="2"/>
  <c r="L131" i="2"/>
  <c r="L14" i="2"/>
  <c r="E18" i="4"/>
  <c r="K18" i="4"/>
  <c r="G18" i="4"/>
  <c r="F18" i="4"/>
  <c r="D18" i="4"/>
  <c r="O18" i="4"/>
  <c r="N18" i="4"/>
  <c r="M18" i="4"/>
  <c r="I18" i="4"/>
  <c r="L18" i="4"/>
  <c r="J18" i="4"/>
  <c r="H18" i="4"/>
  <c r="I13" i="4"/>
  <c r="G13" i="4"/>
  <c r="F13" i="4"/>
  <c r="E13" i="4"/>
  <c r="J13" i="4"/>
  <c r="D13" i="4"/>
  <c r="M13" i="4"/>
  <c r="O13" i="4"/>
  <c r="N13" i="4"/>
  <c r="K13" i="4"/>
  <c r="L13" i="4"/>
  <c r="H13" i="4"/>
  <c r="O8" i="4"/>
  <c r="M8" i="4"/>
  <c r="H8" i="4"/>
  <c r="K124" i="2"/>
  <c r="K14" i="2"/>
  <c r="K86" i="2" s="1"/>
  <c r="I124" i="2"/>
  <c r="J14" i="2"/>
  <c r="J86" i="2" s="1"/>
  <c r="J124" i="2"/>
  <c r="H124" i="2"/>
  <c r="M14" i="2"/>
  <c r="M86" i="2" s="1"/>
  <c r="I14" i="2"/>
  <c r="I86" i="2" s="1"/>
  <c r="M124" i="2"/>
  <c r="L124" i="2"/>
  <c r="G124" i="2"/>
  <c r="V206" i="2" l="1"/>
  <c r="V207" i="2" s="1"/>
  <c r="AA205" i="2"/>
  <c r="AA206" i="2" s="1"/>
  <c r="AA207" i="2" s="1"/>
  <c r="H84" i="2"/>
  <c r="H83" i="2"/>
  <c r="L15" i="2"/>
  <c r="L85" i="2"/>
  <c r="L86" i="2"/>
  <c r="V174" i="2"/>
  <c r="V209" i="2"/>
  <c r="H21" i="2"/>
  <c r="H143" i="2"/>
  <c r="H159" i="2" s="1"/>
  <c r="J20" i="2"/>
  <c r="J15" i="2"/>
  <c r="J75" i="2" s="1"/>
  <c r="K20" i="2"/>
  <c r="K15" i="2"/>
  <c r="K75" i="2" s="1"/>
  <c r="I20" i="2"/>
  <c r="I15" i="2"/>
  <c r="I75" i="2" s="1"/>
  <c r="M20" i="2"/>
  <c r="M15" i="2"/>
  <c r="M75" i="2" s="1"/>
  <c r="L77" i="2"/>
  <c r="L20" i="2"/>
  <c r="L75" i="2"/>
  <c r="H188" i="2" l="1"/>
  <c r="H191" i="2" s="1"/>
  <c r="H169" i="2"/>
  <c r="V210" i="2"/>
  <c r="V211" i="2" s="1"/>
  <c r="AA209" i="2"/>
  <c r="AA210" i="2" s="1"/>
  <c r="AA211" i="2" s="1"/>
  <c r="K84" i="2"/>
  <c r="K83" i="2"/>
  <c r="J83" i="2"/>
  <c r="J84" i="2"/>
  <c r="M84" i="2"/>
  <c r="M83" i="2"/>
  <c r="I83" i="2"/>
  <c r="I84" i="2"/>
  <c r="L143" i="2"/>
  <c r="L159" i="2" s="1"/>
  <c r="L169" i="2" s="1"/>
  <c r="L84" i="2"/>
  <c r="L83" i="2"/>
  <c r="M21" i="2"/>
  <c r="M143" i="2"/>
  <c r="M159" i="2" s="1"/>
  <c r="I21" i="2"/>
  <c r="I143" i="2"/>
  <c r="I159" i="2" s="1"/>
  <c r="K21" i="2"/>
  <c r="K143" i="2"/>
  <c r="K159" i="2" s="1"/>
  <c r="J21" i="2"/>
  <c r="J143" i="2"/>
  <c r="J159" i="2" s="1"/>
  <c r="L21" i="2"/>
  <c r="L24" i="2" s="1"/>
  <c r="J188" i="2" l="1"/>
  <c r="J191" i="2" s="1"/>
  <c r="J169" i="2"/>
  <c r="K188" i="2"/>
  <c r="K191" i="2" s="1"/>
  <c r="K169" i="2"/>
  <c r="M188" i="2"/>
  <c r="M169" i="2"/>
  <c r="H201" i="2"/>
  <c r="H202" i="2" s="1"/>
  <c r="H203" i="2" s="1"/>
  <c r="H170" i="2"/>
  <c r="I188" i="2"/>
  <c r="I191" i="2" s="1"/>
  <c r="I169" i="2"/>
  <c r="L201" i="2"/>
  <c r="L202" i="2" s="1"/>
  <c r="L203" i="2" s="1"/>
  <c r="L170" i="2"/>
  <c r="L171" i="2" s="1"/>
  <c r="L188" i="2"/>
  <c r="G14" i="2"/>
  <c r="U10" i="2"/>
  <c r="T10" i="2"/>
  <c r="S10" i="2"/>
  <c r="S11" i="2" s="1"/>
  <c r="S73" i="2" s="1"/>
  <c r="R10" i="2"/>
  <c r="R11" i="2" s="1"/>
  <c r="R73" i="2" s="1"/>
  <c r="M201" i="2" l="1"/>
  <c r="M202" i="2" s="1"/>
  <c r="M203" i="2" s="1"/>
  <c r="M170" i="2"/>
  <c r="K201" i="2"/>
  <c r="K202" i="2" s="1"/>
  <c r="K203" i="2" s="1"/>
  <c r="K170" i="2"/>
  <c r="J201" i="2"/>
  <c r="J202" i="2" s="1"/>
  <c r="J203" i="2" s="1"/>
  <c r="J170" i="2"/>
  <c r="I170" i="2"/>
  <c r="I201" i="2"/>
  <c r="I202" i="2" s="1"/>
  <c r="I203" i="2" s="1"/>
  <c r="L172" i="2"/>
  <c r="L173" i="2" s="1"/>
  <c r="L205" i="2"/>
  <c r="L206" i="2" s="1"/>
  <c r="L207" i="2" s="1"/>
  <c r="G15" i="2"/>
  <c r="G75" i="2" s="1"/>
  <c r="G85" i="2"/>
  <c r="G86" i="2"/>
  <c r="U11" i="2"/>
  <c r="U73" i="2" s="1"/>
  <c r="T11" i="2"/>
  <c r="T73" i="2" s="1"/>
  <c r="V131" i="2"/>
  <c r="W131" i="2"/>
  <c r="G77" i="2"/>
  <c r="G20" i="2"/>
  <c r="U14" i="2"/>
  <c r="R14" i="2"/>
  <c r="S14" i="2"/>
  <c r="T14" i="2"/>
  <c r="P184" i="2"/>
  <c r="L174" i="2" l="1"/>
  <c r="L209" i="2"/>
  <c r="L210" i="2" s="1"/>
  <c r="L211" i="2" s="1"/>
  <c r="G143" i="2"/>
  <c r="G159" i="2" s="1"/>
  <c r="G169" i="2" s="1"/>
  <c r="G83" i="2"/>
  <c r="G84" i="2"/>
  <c r="S15" i="2"/>
  <c r="S75" i="2" s="1"/>
  <c r="S77" i="2"/>
  <c r="R15" i="2"/>
  <c r="R75" i="2" s="1"/>
  <c r="R77" i="2"/>
  <c r="T15" i="2"/>
  <c r="T75" i="2" s="1"/>
  <c r="T77" i="2"/>
  <c r="U15" i="2"/>
  <c r="U75" i="2" s="1"/>
  <c r="U77" i="2"/>
  <c r="S20" i="2"/>
  <c r="R20" i="2"/>
  <c r="T20" i="2"/>
  <c r="G21" i="2"/>
  <c r="G24" i="2" s="1"/>
  <c r="U20" i="2"/>
  <c r="G201" i="2" l="1"/>
  <c r="G202" i="2" s="1"/>
  <c r="G203" i="2" s="1"/>
  <c r="G170" i="2"/>
  <c r="G171" i="2" s="1"/>
  <c r="G188" i="2"/>
  <c r="G191" i="2" s="1"/>
  <c r="G192" i="2" s="1"/>
  <c r="R143" i="2"/>
  <c r="R159" i="2" s="1"/>
  <c r="R169" i="2" s="1"/>
  <c r="R170" i="2" s="1"/>
  <c r="R171" i="2" s="1"/>
  <c r="R172" i="2" s="1"/>
  <c r="R173" i="2" s="1"/>
  <c r="R174" i="2" s="1"/>
  <c r="U143" i="2"/>
  <c r="U159" i="2" s="1"/>
  <c r="U169" i="2" s="1"/>
  <c r="U170" i="2" s="1"/>
  <c r="U171" i="2" s="1"/>
  <c r="U172" i="2" s="1"/>
  <c r="U173" i="2" s="1"/>
  <c r="U174" i="2" s="1"/>
  <c r="T143" i="2"/>
  <c r="T159" i="2" s="1"/>
  <c r="T169" i="2" s="1"/>
  <c r="T170" i="2" s="1"/>
  <c r="T171" i="2" s="1"/>
  <c r="T172" i="2" s="1"/>
  <c r="T173" i="2" s="1"/>
  <c r="T174" i="2" s="1"/>
  <c r="S143" i="2"/>
  <c r="T21" i="2"/>
  <c r="T24" i="2" s="1"/>
  <c r="S21" i="2"/>
  <c r="S24" i="2" s="1"/>
  <c r="U21" i="2"/>
  <c r="U24" i="2" s="1"/>
  <c r="R21" i="2"/>
  <c r="R24" i="2" s="1"/>
  <c r="S159" i="2" l="1"/>
  <c r="S169" i="2" s="1"/>
  <c r="G172" i="2"/>
  <c r="G173" i="2" s="1"/>
  <c r="G205" i="2"/>
  <c r="G206" i="2" s="1"/>
  <c r="G207" i="2" s="1"/>
  <c r="L190" i="2"/>
  <c r="L191" i="2" s="1"/>
  <c r="L192" i="2" s="1"/>
  <c r="O184" i="2"/>
  <c r="N184" i="2"/>
  <c r="S170" i="2" l="1"/>
  <c r="S171" i="2" s="1"/>
  <c r="S172" i="2" s="1"/>
  <c r="W201" i="2"/>
  <c r="W202" i="2" s="1"/>
  <c r="W203" i="2" s="1"/>
  <c r="S173" i="2"/>
  <c r="S174" i="2" s="1"/>
  <c r="W205" i="2"/>
  <c r="Q190" i="2"/>
  <c r="M190" i="2"/>
  <c r="M191" i="2" s="1"/>
  <c r="N190" i="2" s="1"/>
  <c r="G174" i="2"/>
  <c r="G209" i="2"/>
  <c r="G210" i="2" s="1"/>
  <c r="G211" i="2" s="1"/>
  <c r="Q118" i="2"/>
  <c r="O118" i="2"/>
  <c r="N118" i="2"/>
  <c r="Q102" i="2"/>
  <c r="O102" i="2"/>
  <c r="N102" i="2"/>
  <c r="Q94" i="2"/>
  <c r="O94" i="2"/>
  <c r="N94" i="2"/>
  <c r="Q10" i="2"/>
  <c r="U131" i="2" s="1"/>
  <c r="P10" i="2"/>
  <c r="P11" i="2" s="1"/>
  <c r="P73" i="2" s="1"/>
  <c r="O10" i="2"/>
  <c r="N10" i="2"/>
  <c r="N11" i="2" l="1"/>
  <c r="N73" i="2" s="1"/>
  <c r="Q131" i="2"/>
  <c r="Q11" i="2"/>
  <c r="Q73" i="2" s="1"/>
  <c r="O11" i="2"/>
  <c r="O73" i="2" s="1"/>
  <c r="R131" i="2"/>
  <c r="T131" i="2"/>
  <c r="S131" i="2"/>
  <c r="Q123" i="2"/>
  <c r="N123" i="2"/>
  <c r="O123" i="2"/>
  <c r="N14" i="2"/>
  <c r="N86" i="2" s="1"/>
  <c r="O14" i="2"/>
  <c r="P14" i="2"/>
  <c r="Q14" i="2"/>
  <c r="Q104" i="2"/>
  <c r="O104" i="2"/>
  <c r="N104" i="2"/>
  <c r="O15" i="2" l="1"/>
  <c r="O75" i="2" s="1"/>
  <c r="O86" i="2"/>
  <c r="Q85" i="2"/>
  <c r="Q86" i="2"/>
  <c r="P15" i="2"/>
  <c r="P75" i="2" s="1"/>
  <c r="P86" i="2"/>
  <c r="Q15" i="2"/>
  <c r="Q75" i="2" s="1"/>
  <c r="N20" i="2"/>
  <c r="N15" i="2"/>
  <c r="N75" i="2" s="1"/>
  <c r="P20" i="2"/>
  <c r="Q77" i="2"/>
  <c r="Q20" i="2"/>
  <c r="O20" i="2"/>
  <c r="O124" i="2"/>
  <c r="Q124" i="2"/>
  <c r="N124" i="2"/>
  <c r="P143" i="2" l="1"/>
  <c r="P159" i="2" s="1"/>
  <c r="P169" i="2" s="1"/>
  <c r="P84" i="2"/>
  <c r="P83" i="2"/>
  <c r="N143" i="2"/>
  <c r="N159" i="2" s="1"/>
  <c r="N169" i="2" s="1"/>
  <c r="N83" i="2"/>
  <c r="N84" i="2"/>
  <c r="Q143" i="2"/>
  <c r="Q159" i="2" s="1"/>
  <c r="Q83" i="2"/>
  <c r="Q84" i="2"/>
  <c r="O143" i="2"/>
  <c r="O159" i="2" s="1"/>
  <c r="O169" i="2" s="1"/>
  <c r="O84" i="2"/>
  <c r="O83" i="2"/>
  <c r="P21" i="2"/>
  <c r="Q21" i="2"/>
  <c r="Q24" i="2" s="1"/>
  <c r="O21" i="2"/>
  <c r="N21" i="2"/>
  <c r="Q188" i="2" l="1"/>
  <c r="Q191" i="2" s="1"/>
  <c r="Q192" i="2" s="1"/>
  <c r="Q169" i="2"/>
  <c r="O201" i="2"/>
  <c r="O202" i="2" s="1"/>
  <c r="O203" i="2" s="1"/>
  <c r="O170" i="2"/>
  <c r="N201" i="2"/>
  <c r="N202" i="2" s="1"/>
  <c r="N203" i="2" s="1"/>
  <c r="N170" i="2"/>
  <c r="P170" i="2"/>
  <c r="P201" i="2"/>
  <c r="P202" i="2" s="1"/>
  <c r="P203" i="2" s="1"/>
  <c r="Q170" i="2"/>
  <c r="Q171" i="2" s="1"/>
  <c r="Q205" i="2" s="1"/>
  <c r="Q206" i="2" s="1"/>
  <c r="Q207" i="2" s="1"/>
  <c r="Q201" i="2"/>
  <c r="Q202" i="2" s="1"/>
  <c r="Q203" i="2" s="1"/>
  <c r="P188" i="2"/>
  <c r="N188" i="2"/>
  <c r="O188" i="2"/>
  <c r="E8" i="4"/>
  <c r="L8" i="4"/>
  <c r="F8" i="4"/>
  <c r="N8" i="4"/>
  <c r="J8" i="4"/>
  <c r="G8" i="4"/>
  <c r="D8" i="4"/>
  <c r="K8" i="4"/>
  <c r="I8" i="4"/>
  <c r="V190" i="2" l="1"/>
  <c r="V191" i="2" s="1"/>
  <c r="V192" i="2" s="1"/>
  <c r="R190" i="2"/>
  <c r="Q172" i="2"/>
  <c r="Q173" i="2" s="1"/>
  <c r="Q174" i="2" s="1"/>
  <c r="N191" i="2"/>
  <c r="O190" i="2" s="1"/>
  <c r="O191" i="2" s="1"/>
  <c r="U184" i="2"/>
  <c r="U118" i="2"/>
  <c r="W190" i="2" l="1"/>
  <c r="W191" i="2" s="1"/>
  <c r="W192" i="2" s="1"/>
  <c r="Q209" i="2"/>
  <c r="Q210" i="2" s="1"/>
  <c r="Q211" i="2" s="1"/>
  <c r="P190" i="2"/>
  <c r="P191" i="2" s="1"/>
  <c r="R102" i="2"/>
  <c r="T118" i="2"/>
  <c r="T184" i="2"/>
  <c r="R118" i="2"/>
  <c r="S118" i="2"/>
  <c r="S184" i="2"/>
  <c r="U123" i="2" l="1"/>
  <c r="S123" i="2"/>
  <c r="R184" i="2"/>
  <c r="R123" i="2"/>
  <c r="S102" i="2"/>
  <c r="T123" i="2"/>
  <c r="R188" i="2" l="1"/>
  <c r="R191" i="2" s="1"/>
  <c r="R192" i="2" s="1"/>
  <c r="T102" i="2"/>
  <c r="U188" i="2" l="1"/>
  <c r="S190" i="2"/>
  <c r="T188" i="2"/>
  <c r="S188" i="2"/>
  <c r="U102" i="2"/>
  <c r="S191" i="2" l="1"/>
  <c r="S192" i="2" s="1"/>
  <c r="R94" i="2"/>
  <c r="R104" i="2" s="1"/>
  <c r="R124" i="2" l="1"/>
  <c r="W206" i="2"/>
  <c r="W207" i="2" s="1"/>
  <c r="T190" i="2"/>
  <c r="T191" i="2" s="1"/>
  <c r="T192" i="2" s="1"/>
  <c r="S94" i="2"/>
  <c r="S104" i="2" s="1"/>
  <c r="S124" i="2" l="1"/>
  <c r="U190" i="2"/>
  <c r="U191" i="2" s="1"/>
  <c r="T94" i="2"/>
  <c r="T104" i="2" s="1"/>
  <c r="T124" i="2" l="1"/>
  <c r="U94" i="2"/>
  <c r="U104" i="2" s="1"/>
  <c r="U124"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2"/>
        </ext>
      </extLst>
    </bk>
  </futureMetadata>
  <cellMetadata count="1">
    <bk>
      <rc t="1" v="0"/>
    </bk>
  </cellMetadata>
  <valueMetadata count="1">
    <bk>
      <rc t="2" v="0"/>
    </bk>
  </valueMetadata>
</metadata>
</file>

<file path=xl/sharedStrings.xml><?xml version="1.0" encoding="utf-8"?>
<sst xmlns="http://schemas.openxmlformats.org/spreadsheetml/2006/main" count="347" uniqueCount="199">
  <si>
    <t>COGS</t>
  </si>
  <si>
    <t>Gross Profit</t>
  </si>
  <si>
    <t>EBIT</t>
  </si>
  <si>
    <t>Diluted Shares</t>
  </si>
  <si>
    <t>EPS</t>
  </si>
  <si>
    <t>Divendends per share</t>
  </si>
  <si>
    <t>Current Assets</t>
  </si>
  <si>
    <t>Non-current Assets</t>
  </si>
  <si>
    <t>Total Assets</t>
  </si>
  <si>
    <t>Current Liabilities</t>
  </si>
  <si>
    <t>Non-current Liabilities</t>
  </si>
  <si>
    <t>Total Equity &amp; Liabilities</t>
  </si>
  <si>
    <t>Check</t>
  </si>
  <si>
    <t>Cash Flow</t>
  </si>
  <si>
    <t>D&amp;A</t>
  </si>
  <si>
    <t>Operating Cash Flow</t>
  </si>
  <si>
    <t>Investing Cash Flow</t>
  </si>
  <si>
    <t>Financing Cash Flow</t>
  </si>
  <si>
    <t>Total Cash Flow</t>
  </si>
  <si>
    <t>Cash BoP</t>
  </si>
  <si>
    <t>Cash EoP</t>
  </si>
  <si>
    <t>Q1-2021</t>
  </si>
  <si>
    <t>Q2-2021</t>
  </si>
  <si>
    <t>Q1-2020</t>
  </si>
  <si>
    <t>Q2-2020</t>
  </si>
  <si>
    <t>Q3-2020</t>
  </si>
  <si>
    <t>Q4-2021</t>
  </si>
  <si>
    <t>Q4-2020</t>
  </si>
  <si>
    <t>Q3-2021</t>
  </si>
  <si>
    <t>EBITDA</t>
  </si>
  <si>
    <t>Q1-2022</t>
  </si>
  <si>
    <t>Q2-2022</t>
  </si>
  <si>
    <t>Q3-2022</t>
  </si>
  <si>
    <t>Q4-2022</t>
  </si>
  <si>
    <t>Q1-2023</t>
  </si>
  <si>
    <t>Q2-2023</t>
  </si>
  <si>
    <t>Q3-2023</t>
  </si>
  <si>
    <t>Q4-2023</t>
  </si>
  <si>
    <t xml:space="preserve">    SCENARIO SELECTION -&gt;</t>
  </si>
  <si>
    <t>Model Assumptions</t>
  </si>
  <si>
    <t>Assumptions Mortgages Business</t>
  </si>
  <si>
    <t>FY2024</t>
  </si>
  <si>
    <t>Bear Case</t>
  </si>
  <si>
    <t>Valuation</t>
  </si>
  <si>
    <t>Revenue</t>
  </si>
  <si>
    <t>Net Income Attributable to the Company</t>
  </si>
  <si>
    <t xml:space="preserve">Free Cash Flow </t>
  </si>
  <si>
    <t>Cash and cash equivalents</t>
  </si>
  <si>
    <t>Deferred tax assets</t>
  </si>
  <si>
    <t>Non-controlling interests</t>
  </si>
  <si>
    <t>Stockholders' equity</t>
  </si>
  <si>
    <t>FY2022</t>
  </si>
  <si>
    <t>FY2023</t>
  </si>
  <si>
    <t>Financial Debt</t>
  </si>
  <si>
    <t>Cash</t>
  </si>
  <si>
    <t>Net Financial Debt</t>
  </si>
  <si>
    <t>Working Capital</t>
  </si>
  <si>
    <t>FY2025</t>
  </si>
  <si>
    <t>Base Case</t>
  </si>
  <si>
    <t>Bull Case</t>
  </si>
  <si>
    <t>XXX</t>
  </si>
  <si>
    <t>Intangible assets</t>
  </si>
  <si>
    <t>Goodwill</t>
  </si>
  <si>
    <t>PP&amp;E</t>
  </si>
  <si>
    <t>Balance Sheet (k EUR)</t>
  </si>
  <si>
    <t>Income taxes</t>
  </si>
  <si>
    <t>Forex Effect</t>
  </si>
  <si>
    <t>EBITDA Margin</t>
  </si>
  <si>
    <t>NWC as % Revenues</t>
  </si>
  <si>
    <t>Change in NFD</t>
  </si>
  <si>
    <t>Análisis Balance</t>
  </si>
  <si>
    <t>Change in NWC</t>
  </si>
  <si>
    <t>Days Sales Outstanding (DSO)</t>
  </si>
  <si>
    <t>Days Inventario Outstanding (DIO)</t>
  </si>
  <si>
    <t>Days Payable Outstanding (DPO)</t>
  </si>
  <si>
    <t>Other current assets as % of Revenues</t>
  </si>
  <si>
    <t>Other current liabilities as % of Revenues</t>
  </si>
  <si>
    <t>Gross Margin</t>
  </si>
  <si>
    <t>Análisis P&amp;L</t>
  </si>
  <si>
    <t>Margen Bruto</t>
  </si>
  <si>
    <t>SG&amp;A as % of Revenues</t>
  </si>
  <si>
    <t>D&amp;A as % of Revenues</t>
  </si>
  <si>
    <t>EBIT Margin</t>
  </si>
  <si>
    <t>Tax Rate</t>
  </si>
  <si>
    <t>Análisis Rentabilidad</t>
  </si>
  <si>
    <t>ROA</t>
  </si>
  <si>
    <t>ROE</t>
  </si>
  <si>
    <t>ROCE</t>
  </si>
  <si>
    <t>ROCE ex-Goodwill</t>
  </si>
  <si>
    <t>Lease Liabilities</t>
  </si>
  <si>
    <t>Revenue Growth YoY</t>
  </si>
  <si>
    <t>Revenue Growth QoQ</t>
  </si>
  <si>
    <t>Market Cap</t>
  </si>
  <si>
    <t>Net Financial Debt (ex Leases)</t>
  </si>
  <si>
    <t>Enterprise Value</t>
  </si>
  <si>
    <t>EV/UFCF</t>
  </si>
  <si>
    <t>NFD (including Lease Liabilities) / LTM EBITDA</t>
  </si>
  <si>
    <t>Yield</t>
  </si>
  <si>
    <t>Adjusted EBITDA</t>
  </si>
  <si>
    <t>SG&amp;A</t>
  </si>
  <si>
    <t>Financial Income / (Cost)</t>
  </si>
  <si>
    <t>Foreign exchange income / (loss)</t>
  </si>
  <si>
    <t>Trade receivables and contract assets</t>
  </si>
  <si>
    <t>Short-term investments</t>
  </si>
  <si>
    <t>Prepaid and other current assets</t>
  </si>
  <si>
    <t>Operating lease right-of-use assets</t>
  </si>
  <si>
    <t>Other noncurrent assets</t>
  </si>
  <si>
    <t>Accounts payable</t>
  </si>
  <si>
    <t>Accrued compensation and benefits expenses</t>
  </si>
  <si>
    <t>Accrued expenses and other current liabilities</t>
  </si>
  <si>
    <t>Income tax payable, current</t>
  </si>
  <si>
    <t>Operating lease liabilities, current</t>
  </si>
  <si>
    <t>Long-term debt</t>
  </si>
  <si>
    <t>Operating lease liabilities, non-current</t>
  </si>
  <si>
    <t>Other noncurrent liabilities</t>
  </si>
  <si>
    <t>P&amp;L (k USD)</t>
  </si>
  <si>
    <t>FY2023E Low</t>
  </si>
  <si>
    <t>FY2023E High</t>
  </si>
  <si>
    <t>Diluted EPS</t>
  </si>
  <si>
    <t>Non-GAAP Diluted EPS</t>
  </si>
  <si>
    <t xml:space="preserve">Annual Guidance </t>
  </si>
  <si>
    <t>Quarterly Guidance</t>
  </si>
  <si>
    <t>Q2-2023 Low</t>
  </si>
  <si>
    <t>Q2-2023 High</t>
  </si>
  <si>
    <t>Adjustments P&amp;L</t>
  </si>
  <si>
    <t>Accounting COGS</t>
  </si>
  <si>
    <t>SBC</t>
  </si>
  <si>
    <t>Humanitarian support in Ukraine</t>
  </si>
  <si>
    <t>Unbilled business continuity resources</t>
  </si>
  <si>
    <t>Discretionary compensation</t>
  </si>
  <si>
    <t>Adjusted COGS</t>
  </si>
  <si>
    <t>Accounting SG&amp;A</t>
  </si>
  <si>
    <t>Other acquisition-related expenses</t>
  </si>
  <si>
    <t>One-time (benefits)/charges</t>
  </si>
  <si>
    <t>Humanitarian support to Ukraine</t>
  </si>
  <si>
    <t>Geographic repositioning</t>
  </si>
  <si>
    <t>Russia long-lived asset impairment charges</t>
  </si>
  <si>
    <t>Adjusted SG&amp;A</t>
  </si>
  <si>
    <t>Amortization of acquired intangible assets</t>
  </si>
  <si>
    <t>Adjusted EBIT</t>
  </si>
  <si>
    <t>Change in fair value of contingent consideration included in Interest and Other Income</t>
  </si>
  <si>
    <t>Impairment of financial assets</t>
  </si>
  <si>
    <t>Foreing exchange loss</t>
  </si>
  <si>
    <t>Tax effect on non-GAAP adjustements</t>
  </si>
  <si>
    <t>Excess tax benefits related to stock-based compensation</t>
  </si>
  <si>
    <t>Net discrete benefit from tax planning</t>
  </si>
  <si>
    <t>Adjusted Net Income</t>
  </si>
  <si>
    <t>Net Income Margin</t>
  </si>
  <si>
    <t>Adjusted EPS - Diluted Shares</t>
  </si>
  <si>
    <t>EPAM</t>
  </si>
  <si>
    <t>Midpoint Guidance previous Quarter/Year</t>
  </si>
  <si>
    <t xml:space="preserve">Acctual EPS vs Guidance </t>
  </si>
  <si>
    <t>Short-term debt</t>
  </si>
  <si>
    <t>Russia business restructuring</t>
  </si>
  <si>
    <t>Income taxes payable, noncurrent</t>
  </si>
  <si>
    <t>Financial Income Cost Rate</t>
  </si>
  <si>
    <t>Net Income</t>
  </si>
  <si>
    <t>Bad debt expense</t>
  </si>
  <si>
    <t>Unrealized loss on Derivative</t>
  </si>
  <si>
    <t>Impairment charges</t>
  </si>
  <si>
    <t>Other</t>
  </si>
  <si>
    <t>Working Capital:</t>
  </si>
  <si>
    <t>Prepaid and other assets</t>
  </si>
  <si>
    <t>Operating lease liabilities</t>
  </si>
  <si>
    <t>Income taxes payable</t>
  </si>
  <si>
    <t>Deferred taxes</t>
  </si>
  <si>
    <t>Purchases of PP&amp;E</t>
  </si>
  <si>
    <t>Purchases of short-term investments</t>
  </si>
  <si>
    <t>Proceeds from short-term investments</t>
  </si>
  <si>
    <t>Acquisition of business, net of cash adquired</t>
  </si>
  <si>
    <t>Purchases of non-marketable securities</t>
  </si>
  <si>
    <t>Other investment activities, net</t>
  </si>
  <si>
    <t>Proceeds from issuance of stock under the employee incentive programs</t>
  </si>
  <si>
    <t>Payments of withholding taxes related to net share settlements of restricted stock units</t>
  </si>
  <si>
    <t>Proceeds from debt</t>
  </si>
  <si>
    <t>Repayment of debt</t>
  </si>
  <si>
    <t>Payment of contingnet consideration for previously acquired business</t>
  </si>
  <si>
    <t>Purchase of noncontrolling interest</t>
  </si>
  <si>
    <t>Other financing activities, net</t>
  </si>
  <si>
    <t>Operating leases right-of-use assets amortization expense</t>
  </si>
  <si>
    <t>Accrued expenses and other liabilities</t>
  </si>
  <si>
    <t>Unbilled revenues</t>
  </si>
  <si>
    <t>Adjusted Free Cash Flow - Unlevered before Working Capital</t>
  </si>
  <si>
    <t>Adjusted Free Cash Flow - Levered before Working Capital</t>
  </si>
  <si>
    <t>Adjusted Free Cash Flow - Levered before Working Capital &amp; After M&amp;A</t>
  </si>
  <si>
    <t>Normalized Free Cash Flow - Before extraordinaries</t>
  </si>
  <si>
    <t>Normalized Free Cash Flow - Unlevered</t>
  </si>
  <si>
    <t>EqV/LFCF</t>
  </si>
  <si>
    <t>Normalized Adjusted Free Cash Flow LTM - Unlevered before Working Capital</t>
  </si>
  <si>
    <t>Normalized Adjusted Free Cash Flow LTM - Levered before Working Capital</t>
  </si>
  <si>
    <t>Selected Adjustements for Normalization</t>
  </si>
  <si>
    <t>Notes</t>
  </si>
  <si>
    <t>4 to 6 quarters to recover</t>
  </si>
  <si>
    <t>Pressure in prices</t>
  </si>
  <si>
    <t>Margin pressures since they got out of Russia to more expensive geographies</t>
  </si>
  <si>
    <t>Growth in Diluted Shares YoY / QoQ</t>
  </si>
  <si>
    <t>Repurchase of common stock</t>
  </si>
  <si>
    <t>Accounting FCF LTM</t>
  </si>
  <si>
    <t>Second part of the year will be worse and back to growth in 2024 - that's not reflected in the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</si>
</sst>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
    <numFmt numFmtId="165" formatCode="0.0%"/>
    <numFmt numFmtId="166" formatCode="#,##0.0;\(#,##0.0\);&quot;-&quot;"/>
    <numFmt numFmtId="167" formatCode="#,##0.00;\(#,##0.00\);&quot;-&quot;"/>
    <numFmt numFmtId="168" formatCode="#,##0.0\x;\(#,##0.0\x\);&quot;-&quot;"/>
  </numFmts>
  <fonts count="13" x14ac:knownFonts="1">
    <font>
      <sz val="11"/>
      <color theme="1"/>
      <name val="Calibri"/>
      <family val="2"/>
      <scheme val="minor"/>
    </font>
    <font>
      <sz val="11"/>
      <color theme="1"/>
      <name val="Calibri"/>
      <family val="2"/>
      <scheme val="minor"/>
    </font>
    <font>
      <sz val="10"/>
      <color theme="1"/>
      <name val="Arial Narrow"/>
      <family val="2"/>
    </font>
    <font>
      <b/>
      <sz val="10"/>
      <color theme="0"/>
      <name val="Arial Narrow"/>
      <family val="2"/>
    </font>
    <font>
      <b/>
      <sz val="10"/>
      <color theme="1"/>
      <name val="Arial Narrow"/>
      <family val="2"/>
    </font>
    <font>
      <i/>
      <sz val="10"/>
      <color theme="1"/>
      <name val="Arial Narrow"/>
      <family val="2"/>
    </font>
    <font>
      <sz val="10"/>
      <color rgb="FF0000FF"/>
      <name val="Arial Narrow"/>
      <family val="2"/>
    </font>
    <font>
      <b/>
      <i/>
      <sz val="10"/>
      <name val="Arial Narrow"/>
      <family val="2"/>
    </font>
    <font>
      <b/>
      <sz val="10"/>
      <name val="Arial Narrow"/>
      <family val="2"/>
    </font>
    <font>
      <b/>
      <i/>
      <sz val="10"/>
      <color theme="0"/>
      <name val="Arial Narrow"/>
      <family val="2"/>
    </font>
    <font>
      <b/>
      <i/>
      <sz val="10"/>
      <color theme="1"/>
      <name val="Arial Narrow"/>
      <family val="2"/>
    </font>
    <font>
      <sz val="10"/>
      <name val="Arial Narrow"/>
      <family val="2"/>
    </font>
    <font>
      <sz val="10"/>
      <color rgb="FF00B050"/>
      <name val="Arial Narrow"/>
      <family val="2"/>
    </font>
  </fonts>
  <fills count="10">
    <fill>
      <patternFill patternType="none"/>
    </fill>
    <fill>
      <patternFill patternType="gray125"/>
    </fill>
    <fill>
      <patternFill patternType="solid">
        <fgColor theme="8"/>
        <bgColor indexed="64"/>
      </patternFill>
    </fill>
    <fill>
      <patternFill patternType="solid">
        <fgColor rgb="FF273A4F"/>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249977111117893"/>
        <bgColor indexed="64"/>
      </patternFill>
    </fill>
    <fill>
      <patternFill patternType="solid">
        <fgColor theme="5"/>
        <bgColor indexed="64"/>
      </patternFill>
    </fill>
    <fill>
      <patternFill patternType="solid">
        <fgColor theme="7"/>
        <bgColor indexed="64"/>
      </patternFill>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69">
    <xf numFmtId="0" fontId="0" fillId="0" borderId="0" xfId="0"/>
    <xf numFmtId="0" fontId="2" fillId="0" borderId="0" xfId="0" applyFont="1"/>
    <xf numFmtId="164" fontId="2" fillId="0" borderId="0" xfId="0" applyNumberFormat="1" applyFont="1" applyAlignment="1">
      <alignment horizontal="right" vertical="center"/>
    </xf>
    <xf numFmtId="0" fontId="4" fillId="0" borderId="0" xfId="0" applyFont="1"/>
    <xf numFmtId="0" fontId="4" fillId="0" borderId="1" xfId="0" applyFont="1" applyBorder="1"/>
    <xf numFmtId="164" fontId="4" fillId="0" borderId="0" xfId="0" applyNumberFormat="1" applyFont="1" applyAlignment="1">
      <alignment horizontal="right" vertical="center"/>
    </xf>
    <xf numFmtId="164" fontId="4" fillId="0" borderId="1" xfId="0" applyNumberFormat="1" applyFont="1" applyBorder="1" applyAlignment="1">
      <alignment horizontal="right" vertical="center"/>
    </xf>
    <xf numFmtId="0" fontId="5" fillId="0" borderId="0" xfId="0" applyFont="1"/>
    <xf numFmtId="165" fontId="2" fillId="0" borderId="0" xfId="1" applyNumberFormat="1" applyFont="1" applyBorder="1" applyAlignment="1">
      <alignment horizontal="right" vertical="center"/>
    </xf>
    <xf numFmtId="167" fontId="2" fillId="0" borderId="0" xfId="0" applyNumberFormat="1" applyFont="1" applyAlignment="1">
      <alignment horizontal="right" vertical="center"/>
    </xf>
    <xf numFmtId="0" fontId="4" fillId="0" borderId="2" xfId="0" applyFont="1" applyBorder="1"/>
    <xf numFmtId="164" fontId="4" fillId="0" borderId="2" xfId="0" applyNumberFormat="1" applyFont="1" applyBorder="1" applyAlignment="1">
      <alignment horizontal="right" vertical="center"/>
    </xf>
    <xf numFmtId="0" fontId="3" fillId="2" borderId="0" xfId="0" applyFont="1" applyFill="1" applyAlignment="1">
      <alignment horizontal="right"/>
    </xf>
    <xf numFmtId="167" fontId="6" fillId="0" borderId="0" xfId="0" applyNumberFormat="1" applyFont="1" applyAlignment="1">
      <alignment horizontal="right" vertical="center"/>
    </xf>
    <xf numFmtId="0" fontId="3" fillId="3" borderId="0" xfId="0" applyFont="1" applyFill="1" applyAlignment="1">
      <alignment vertical="center"/>
    </xf>
    <xf numFmtId="0" fontId="2" fillId="3" borderId="0" xfId="0" applyFont="1" applyFill="1" applyAlignment="1">
      <alignment horizontal="right" vertical="center"/>
    </xf>
    <xf numFmtId="0" fontId="2" fillId="3" borderId="0" xfId="0" applyFont="1" applyFill="1" applyAlignment="1">
      <alignment vertical="center"/>
    </xf>
    <xf numFmtId="0" fontId="7" fillId="4" borderId="0" xfId="0" applyFont="1" applyFill="1" applyAlignment="1">
      <alignment horizontal="left" vertical="center"/>
    </xf>
    <xf numFmtId="0" fontId="8" fillId="4" borderId="0" xfId="0" applyFont="1" applyFill="1" applyAlignment="1">
      <alignment vertical="center"/>
    </xf>
    <xf numFmtId="0" fontId="9" fillId="3" borderId="0" xfId="0" applyFont="1" applyFill="1" applyAlignment="1">
      <alignment vertical="center"/>
    </xf>
    <xf numFmtId="0" fontId="2" fillId="4" borderId="0" xfId="0" applyFont="1" applyFill="1" applyAlignment="1">
      <alignment vertical="center"/>
    </xf>
    <xf numFmtId="0" fontId="10" fillId="4" borderId="0" xfId="0" applyFont="1" applyFill="1" applyAlignment="1">
      <alignment horizontal="center" vertical="center"/>
    </xf>
    <xf numFmtId="0" fontId="3" fillId="3" borderId="0" xfId="0" applyFont="1" applyFill="1" applyAlignment="1">
      <alignment horizontal="left" vertical="center"/>
    </xf>
    <xf numFmtId="17" fontId="3" fillId="3" borderId="0" xfId="0" applyNumberFormat="1" applyFont="1" applyFill="1" applyAlignment="1">
      <alignment horizontal="right" vertical="center"/>
    </xf>
    <xf numFmtId="0" fontId="4" fillId="0" borderId="3" xfId="0" applyFont="1" applyBorder="1"/>
    <xf numFmtId="164" fontId="2" fillId="0" borderId="3" xfId="0" applyNumberFormat="1" applyFont="1" applyBorder="1" applyAlignment="1">
      <alignment horizontal="right" vertical="center"/>
    </xf>
    <xf numFmtId="164" fontId="6" fillId="0" borderId="0" xfId="0" applyNumberFormat="1" applyFont="1" applyAlignment="1">
      <alignment horizontal="right" vertical="center"/>
    </xf>
    <xf numFmtId="164" fontId="12" fillId="0" borderId="0" xfId="0" applyNumberFormat="1" applyFont="1" applyAlignment="1">
      <alignment horizontal="right" vertical="center"/>
    </xf>
    <xf numFmtId="167" fontId="4" fillId="0" borderId="3" xfId="0" applyNumberFormat="1" applyFont="1" applyBorder="1" applyAlignment="1">
      <alignment horizontal="right" vertical="center"/>
    </xf>
    <xf numFmtId="0" fontId="10" fillId="4" borderId="0" xfId="0" applyFont="1" applyFill="1" applyAlignment="1">
      <alignment horizontal="left" vertical="center"/>
    </xf>
    <xf numFmtId="164" fontId="11" fillId="0" borderId="0" xfId="0" applyNumberFormat="1" applyFont="1" applyAlignment="1">
      <alignment horizontal="right" vertical="center"/>
    </xf>
    <xf numFmtId="167" fontId="11" fillId="0" borderId="0" xfId="0" applyNumberFormat="1" applyFont="1" applyAlignment="1">
      <alignment horizontal="right" vertical="center"/>
    </xf>
    <xf numFmtId="10" fontId="2" fillId="0" borderId="0" xfId="1" applyNumberFormat="1" applyFont="1"/>
    <xf numFmtId="0" fontId="4" fillId="5" borderId="2" xfId="0" applyFont="1" applyFill="1" applyBorder="1"/>
    <xf numFmtId="164" fontId="4" fillId="5" borderId="2" xfId="0" applyNumberFormat="1" applyFont="1" applyFill="1" applyBorder="1" applyAlignment="1">
      <alignment horizontal="right" vertical="center"/>
    </xf>
    <xf numFmtId="0" fontId="3" fillId="3" borderId="0" xfId="0" applyFont="1" applyFill="1"/>
    <xf numFmtId="166" fontId="2" fillId="0" borderId="0" xfId="0" applyNumberFormat="1" applyFont="1" applyAlignment="1">
      <alignment horizontal="right" vertical="center"/>
    </xf>
    <xf numFmtId="164" fontId="2" fillId="6" borderId="0" xfId="0" applyNumberFormat="1" applyFont="1" applyFill="1" applyAlignment="1">
      <alignment horizontal="right" vertical="center"/>
    </xf>
    <xf numFmtId="168" fontId="2" fillId="0" borderId="0" xfId="0" applyNumberFormat="1" applyFont="1" applyAlignment="1">
      <alignment horizontal="right" vertical="center"/>
    </xf>
    <xf numFmtId="10" fontId="2" fillId="0" borderId="0" xfId="1" applyNumberFormat="1" applyFont="1" applyAlignment="1">
      <alignment horizontal="right" vertical="center"/>
    </xf>
    <xf numFmtId="0" fontId="4" fillId="7" borderId="2" xfId="0" applyFont="1" applyFill="1" applyBorder="1"/>
    <xf numFmtId="164" fontId="4" fillId="7" borderId="2" xfId="0" applyNumberFormat="1" applyFont="1" applyFill="1" applyBorder="1" applyAlignment="1">
      <alignment horizontal="right" vertical="center"/>
    </xf>
    <xf numFmtId="165" fontId="2" fillId="0" borderId="0" xfId="1" applyNumberFormat="1" applyFont="1" applyAlignment="1">
      <alignment horizontal="right" vertical="center"/>
    </xf>
    <xf numFmtId="10" fontId="2" fillId="0" borderId="0" xfId="1" applyNumberFormat="1" applyFont="1" applyFill="1" applyAlignment="1">
      <alignment horizontal="right" vertical="center"/>
    </xf>
    <xf numFmtId="168" fontId="4" fillId="0" borderId="0" xfId="0" applyNumberFormat="1" applyFont="1" applyAlignment="1">
      <alignment horizontal="right" vertical="center"/>
    </xf>
    <xf numFmtId="0" fontId="3" fillId="3" borderId="0" xfId="0" applyFont="1" applyFill="1" applyAlignment="1">
      <alignment horizontal="right"/>
    </xf>
    <xf numFmtId="165" fontId="2" fillId="0" borderId="0" xfId="1" applyNumberFormat="1" applyFont="1" applyFill="1" applyAlignment="1">
      <alignment horizontal="right" vertical="center"/>
    </xf>
    <xf numFmtId="10" fontId="2" fillId="0" borderId="0" xfId="1" applyNumberFormat="1" applyFont="1" applyFill="1"/>
    <xf numFmtId="0" fontId="4" fillId="8" borderId="2" xfId="0" applyFont="1" applyFill="1" applyBorder="1"/>
    <xf numFmtId="164" fontId="4" fillId="8" borderId="2" xfId="0" applyNumberFormat="1" applyFont="1" applyFill="1" applyBorder="1" applyAlignment="1">
      <alignment horizontal="right" vertical="center"/>
    </xf>
    <xf numFmtId="10" fontId="2" fillId="0" borderId="0" xfId="1" applyNumberFormat="1" applyFont="1" applyFill="1" applyAlignment="1">
      <alignment horizontal="right"/>
    </xf>
    <xf numFmtId="167" fontId="2" fillId="6" borderId="0" xfId="0" applyNumberFormat="1" applyFont="1" applyFill="1" applyAlignment="1">
      <alignment horizontal="right" vertical="center"/>
    </xf>
    <xf numFmtId="165" fontId="2" fillId="6" borderId="0" xfId="1" applyNumberFormat="1" applyFont="1" applyFill="1" applyAlignment="1">
      <alignment horizontal="right" vertical="center"/>
    </xf>
    <xf numFmtId="165" fontId="11" fillId="0" borderId="0" xfId="1" applyNumberFormat="1" applyFont="1" applyAlignment="1">
      <alignment horizontal="right" vertical="center"/>
    </xf>
    <xf numFmtId="164" fontId="2" fillId="0" borderId="0" xfId="0" applyNumberFormat="1" applyFont="1"/>
    <xf numFmtId="164" fontId="2" fillId="0" borderId="0" xfId="0" applyNumberFormat="1" applyFont="1" applyFill="1" applyAlignment="1">
      <alignment horizontal="right" vertical="center"/>
    </xf>
    <xf numFmtId="164" fontId="4" fillId="0" borderId="1" xfId="0" applyNumberFormat="1" applyFont="1" applyFill="1" applyBorder="1" applyAlignment="1">
      <alignment horizontal="right" vertical="center"/>
    </xf>
    <xf numFmtId="164" fontId="4" fillId="0" borderId="0" xfId="0" applyNumberFormat="1" applyFont="1" applyFill="1" applyAlignment="1">
      <alignment horizontal="right" vertical="center"/>
    </xf>
    <xf numFmtId="167" fontId="4" fillId="0" borderId="0" xfId="0" applyNumberFormat="1" applyFont="1" applyAlignment="1">
      <alignment horizontal="right" vertical="center"/>
    </xf>
    <xf numFmtId="10" fontId="2" fillId="6" borderId="0" xfId="1" applyNumberFormat="1" applyFont="1" applyFill="1" applyAlignment="1">
      <alignment horizontal="right" vertical="center"/>
    </xf>
    <xf numFmtId="167" fontId="2" fillId="0" borderId="0" xfId="0" applyNumberFormat="1" applyFont="1" applyFill="1" applyAlignment="1">
      <alignment horizontal="right" vertical="center"/>
    </xf>
    <xf numFmtId="0" fontId="2" fillId="0" borderId="0" xfId="0" applyFont="1" applyFill="1"/>
    <xf numFmtId="0" fontId="4" fillId="0" borderId="0" xfId="0" applyFont="1" applyFill="1"/>
    <xf numFmtId="0" fontId="4" fillId="9" borderId="2" xfId="0" applyFont="1" applyFill="1" applyBorder="1"/>
    <xf numFmtId="164" fontId="4" fillId="9" borderId="2" xfId="0" applyNumberFormat="1" applyFont="1" applyFill="1" applyBorder="1" applyAlignment="1">
      <alignment horizontal="right" vertical="center"/>
    </xf>
    <xf numFmtId="165" fontId="4" fillId="9" borderId="2" xfId="1" applyNumberFormat="1" applyFont="1" applyFill="1" applyBorder="1" applyAlignment="1">
      <alignment horizontal="right" vertical="center"/>
    </xf>
    <xf numFmtId="0" fontId="4" fillId="9" borderId="0" xfId="0" applyFont="1" applyFill="1"/>
    <xf numFmtId="164" fontId="11" fillId="0" borderId="0" xfId="0" applyNumberFormat="1" applyFont="1" applyFill="1" applyAlignment="1">
      <alignment horizontal="right" vertical="center"/>
    </xf>
    <xf numFmtId="164" fontId="12" fillId="0" borderId="0" xfId="0" applyNumberFormat="1" applyFont="1" applyFill="1" applyAlignment="1">
      <alignment horizontal="right" vertical="center"/>
    </xf>
  </cellXfs>
  <cellStyles count="4">
    <cellStyle name="Normal" xfId="0" builtinId="0"/>
    <cellStyle name="Normal 2" xfId="2" xr:uid="{E78900D3-BF6B-43A1-A8D7-C9D2AE5D0644}"/>
    <cellStyle name="Percent" xfId="1" builtinId="5"/>
    <cellStyle name="Percent 2" xfId="3" xr:uid="{471B439D-7D0F-4F28-8AB9-E9CCA748983E}"/>
  </cellStyles>
  <dxfs count="0"/>
  <tableStyles count="0" defaultTableStyle="TableStyleMedium2" defaultPivotStyle="PivotStyleLight16"/>
  <colors>
    <mruColors>
      <color rgb="FF0000FF"/>
      <color rgb="FF273A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17/06/relationships/rdRichValue" Target="richData/rdrichvalue.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SupportingPropertyBag" Target="richData/rdsupportingpropertybag.xml"/><Relationship Id="rId5" Type="http://schemas.openxmlformats.org/officeDocument/2006/relationships/sharedStrings" Target="sharedStrings.xml"/><Relationship Id="rId10" Type="http://schemas.microsoft.com/office/2017/06/relationships/rdSupportingPropertyBagStructure" Target="richData/rdsupportingpropertybagstructure.xml"/><Relationship Id="rId4" Type="http://schemas.openxmlformats.org/officeDocument/2006/relationships/styles" Target="styles.xml"/><Relationship Id="rId9" Type="http://schemas.microsoft.com/office/2017/06/relationships/richStyles" Target="richData/richStyl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
  <rv s="0">
    <v>https://www.bing.com/financeapi/forcetrigger?t=a1s2fr&amp;q=XNYS%3aEPAM&amp;form=skydnc</v>
    <v>Learn more on Bing</v>
  </rv>
  <rv s="1">
    <v>en-GB</v>
    <v>a1s2fr</v>
    <v>268435456</v>
    <v>1</v>
    <v>Powered by Refinitiv</v>
    <v>0</v>
    <v>EPAM SYSTEMS, INC. (XNYS:EPAM)</v>
    <v>2</v>
    <v>3</v>
    <v>Finance</v>
    <v>4</v>
    <v>462.99</v>
    <v>197.99</v>
    <v>1.5153000000000001</v>
    <v>3.58</v>
    <v>1.6351000000000001E-2</v>
    <v>USD</v>
    <v>EPAM Systems, Inc. is a digital transformation services and product engineering company. The Company provides digital platform engineering and software development services to customers located around the world, primarily in North America, Europe, and Asia. It maintains a group of testing and quality assurance professionals with experience across a range of technology platforms and industry verticals. This group performs software application testing, test management, automation and consulting services focused on helping customers improve their existing software testing and quality assurance practices. It has integrated consulting teams across business, experience, technology and data. The functional business is engaged in technology platforms and their interactions, as well as the application of data science and machine learning, to deliver insights into its customers’ business. Its digital and service design practice provides strategy, design, creative and program management services.</v>
    <v>59300</v>
    <v>New York Stock Exchange</v>
    <v>XNYS</v>
    <v>XNYS</v>
    <v>SUITE 202, 41 UNIVERSITY DRIVE, NEWTOWN, PA, 18940 US</v>
    <v>223.7</v>
    <v>Software &amp; IT Services</v>
    <v>Stock</v>
    <v>45091.994275543751</v>
    <v>0</v>
    <v>218.57</v>
    <v>12885719816</v>
    <v>EPAM SYSTEMS, INC.</v>
    <v>EPAM SYSTEMS, INC.</v>
    <v>221.05</v>
    <v>30.5608</v>
    <v>218.95</v>
    <v>222.53</v>
    <v>57905540</v>
    <v>EPAM</v>
    <v>EPAM SYSTEMS, INC. (XNYS:EPAM)</v>
    <v>940987</v>
    <v>861356</v>
    <v>2002</v>
  </rv>
  <rv s="2">
    <v>1</v>
  </rv>
</rvData>
</file>

<file path=xl/richData/rdrichvaluestructure.xml><?xml version="1.0" encoding="utf-8"?>
<rvStructures xmlns="http://schemas.microsoft.com/office/spreadsheetml/2017/richdata" count="3">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2">
      <v t="s">%EntityServiceId</v>
      <v t="s">_Format</v>
      <v t="s">%IsRefreshable</v>
      <v t="s">%EntityCulture</v>
      <v t="s">%EntityId</v>
      <v t="s">_Icon</v>
      <v t="s">_Display</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spbArrays>
  <spbData count="5">
    <spb s="0">
      <v>0</v>
      <v>Name</v>
      <v>LearnMoreOnLink</v>
    </spb>
    <spb s="1">
      <v>0</v>
      <v>0</v>
      <v>0</v>
    </spb>
    <spb s="2">
      <v>1</v>
      <v>1</v>
      <v>1</v>
      <v>1</v>
    </spb>
    <spb s="3">
      <v>1</v>
      <v>2</v>
      <v>2</v>
      <v>1</v>
      <v>3</v>
      <v>1</v>
      <v>1</v>
      <v>1</v>
      <v>4</v>
      <v>4</v>
      <v>5</v>
      <v>6</v>
      <v>1</v>
      <v>1</v>
      <v>1</v>
      <v>4</v>
      <v>7</v>
      <v>8</v>
      <v>9</v>
      <v>4</v>
    </spb>
    <spb s="4">
      <v>Delayed 15 minutes</v>
      <v>from previous close</v>
      <v>from previous close</v>
      <v>Source: Nasdaq</v>
      <v>GMT</v>
    </spb>
  </spbData>
</supportingPropertyBags>
</file>

<file path=xl/richData/rdsupportingpropertybagstructure.xml><?xml version="1.0" encoding="utf-8"?>
<spbStructures xmlns="http://schemas.microsoft.com/office/spreadsheetml/2017/richdata2" count="5">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s>
  <s>
    <k n="Price" t="s"/>
    <k n="Change" t="s"/>
    <k n="Change (%)" t="s"/>
    <k n="ExchangeID" t="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ichStyles>
</richStyleSheet>
</file>

<file path=xl/theme/theme1.xml><?xml version="1.0" encoding="utf-8"?>
<a:theme xmlns:a="http://schemas.openxmlformats.org/drawingml/2006/main" name="Office Theme">
  <a:themeElements>
    <a:clrScheme name="Custom 1">
      <a:dk1>
        <a:sysClr val="windowText" lastClr="000000"/>
      </a:dk1>
      <a:lt1>
        <a:srgbClr val="FFFFFF"/>
      </a:lt1>
      <a:dk2>
        <a:srgbClr val="FFFFFF"/>
      </a:dk2>
      <a:lt2>
        <a:srgbClr val="FFFFFF"/>
      </a:lt2>
      <a:accent1>
        <a:srgbClr val="004976"/>
      </a:accent1>
      <a:accent2>
        <a:srgbClr val="B1CEBC"/>
      </a:accent2>
      <a:accent3>
        <a:srgbClr val="71697A"/>
      </a:accent3>
      <a:accent4>
        <a:srgbClr val="D9D2B6"/>
      </a:accent4>
      <a:accent5>
        <a:srgbClr val="7F9C90"/>
      </a:accent5>
      <a:accent6>
        <a:srgbClr val="E4BE9E"/>
      </a:accent6>
      <a:hlink>
        <a:srgbClr val="0079BF"/>
      </a:hlink>
      <a:folHlink>
        <a:srgbClr val="FF33CC"/>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50A7-5B12-4181-9B38-4D2CBA94320B}">
  <dimension ref="B2:O21"/>
  <sheetViews>
    <sheetView showGridLines="0" workbookViewId="0"/>
  </sheetViews>
  <sheetFormatPr defaultColWidth="9.140625" defaultRowHeight="12.75" x14ac:dyDescent="0.2"/>
  <cols>
    <col min="1" max="1" width="3.5703125" style="1" customWidth="1"/>
    <col min="2" max="2" width="46.5703125" style="1" customWidth="1"/>
    <col min="3" max="3" width="9.5703125" style="1" bestFit="1" customWidth="1"/>
    <col min="4" max="15" width="15.7109375" style="1" customWidth="1"/>
    <col min="16" max="16384" width="9.140625" style="1"/>
  </cols>
  <sheetData>
    <row r="2" spans="2:15" x14ac:dyDescent="0.2">
      <c r="B2" s="14" t="s">
        <v>149</v>
      </c>
      <c r="C2" s="15"/>
      <c r="D2" s="15"/>
      <c r="E2" s="16"/>
      <c r="F2" s="16"/>
      <c r="G2" s="17" t="s">
        <v>38</v>
      </c>
      <c r="H2" s="17"/>
      <c r="I2" s="17"/>
      <c r="J2" s="18"/>
      <c r="K2" s="18">
        <f>+'Financial Statements'!D2</f>
        <v>1</v>
      </c>
    </row>
    <row r="3" spans="2:15" x14ac:dyDescent="0.2">
      <c r="B3" s="19" t="s">
        <v>39</v>
      </c>
      <c r="C3" s="15"/>
      <c r="D3" s="15"/>
      <c r="E3" s="16"/>
      <c r="F3" s="16"/>
      <c r="G3" s="20"/>
      <c r="H3" s="20"/>
      <c r="I3" s="20"/>
      <c r="J3" s="20"/>
      <c r="K3" s="21" t="str">
        <f>IF(K2=1,"Base Case", IF(K2=2,"Bull Case", IF(K2=3,"Bear Case","-")))</f>
        <v>Base Case</v>
      </c>
    </row>
    <row r="6" spans="2:15" x14ac:dyDescent="0.2">
      <c r="B6" s="22" t="s">
        <v>40</v>
      </c>
      <c r="C6" s="23"/>
      <c r="D6" s="23" t="s">
        <v>30</v>
      </c>
      <c r="E6" s="23" t="s">
        <v>31</v>
      </c>
      <c r="F6" s="23" t="s">
        <v>32</v>
      </c>
      <c r="G6" s="23" t="s">
        <v>33</v>
      </c>
      <c r="H6" s="23" t="s">
        <v>51</v>
      </c>
      <c r="I6" s="23" t="s">
        <v>34</v>
      </c>
      <c r="J6" s="23" t="s">
        <v>35</v>
      </c>
      <c r="K6" s="23" t="s">
        <v>36</v>
      </c>
      <c r="L6" s="23" t="s">
        <v>37</v>
      </c>
      <c r="M6" s="23" t="s">
        <v>52</v>
      </c>
      <c r="N6" s="23" t="s">
        <v>41</v>
      </c>
      <c r="O6" s="23" t="s">
        <v>57</v>
      </c>
    </row>
    <row r="8" spans="2:15" x14ac:dyDescent="0.2">
      <c r="B8" s="24" t="s">
        <v>60</v>
      </c>
      <c r="C8" s="28"/>
      <c r="D8" s="25">
        <f t="shared" ref="D8:O8" ca="1" si="0">OFFSET(D8,$K$2,,,)</f>
        <v>0</v>
      </c>
      <c r="E8" s="25">
        <f t="shared" ca="1" si="0"/>
        <v>0</v>
      </c>
      <c r="F8" s="25">
        <f t="shared" ca="1" si="0"/>
        <v>0</v>
      </c>
      <c r="G8" s="25">
        <f t="shared" ca="1" si="0"/>
        <v>0</v>
      </c>
      <c r="H8" s="25">
        <f t="shared" ca="1" si="0"/>
        <v>0</v>
      </c>
      <c r="I8" s="25">
        <f t="shared" ca="1" si="0"/>
        <v>0</v>
      </c>
      <c r="J8" s="25">
        <f t="shared" ca="1" si="0"/>
        <v>0</v>
      </c>
      <c r="K8" s="25">
        <f t="shared" ca="1" si="0"/>
        <v>0</v>
      </c>
      <c r="L8" s="25">
        <f t="shared" ca="1" si="0"/>
        <v>0</v>
      </c>
      <c r="M8" s="25">
        <f t="shared" ca="1" si="0"/>
        <v>0</v>
      </c>
      <c r="N8" s="25">
        <f t="shared" ca="1" si="0"/>
        <v>0</v>
      </c>
      <c r="O8" s="25">
        <f t="shared" ca="1" si="0"/>
        <v>0</v>
      </c>
    </row>
    <row r="9" spans="2:15" x14ac:dyDescent="0.2">
      <c r="B9" s="1" t="s">
        <v>58</v>
      </c>
      <c r="C9" s="13"/>
      <c r="D9" s="26"/>
      <c r="E9" s="26"/>
      <c r="F9" s="26"/>
      <c r="G9" s="26"/>
      <c r="H9" s="26"/>
      <c r="I9" s="26"/>
      <c r="J9" s="26"/>
      <c r="K9" s="26"/>
      <c r="L9" s="26"/>
      <c r="M9" s="26"/>
      <c r="N9" s="26"/>
      <c r="O9" s="26"/>
    </row>
    <row r="10" spans="2:15" x14ac:dyDescent="0.2">
      <c r="B10" s="1" t="s">
        <v>59</v>
      </c>
      <c r="C10" s="13"/>
      <c r="D10" s="26"/>
      <c r="E10" s="26"/>
      <c r="F10" s="26"/>
      <c r="G10" s="26"/>
      <c r="H10" s="26"/>
      <c r="I10" s="26"/>
      <c r="J10" s="26"/>
      <c r="K10" s="26"/>
      <c r="L10" s="26"/>
      <c r="M10" s="26"/>
      <c r="N10" s="26"/>
      <c r="O10" s="26"/>
    </row>
    <row r="11" spans="2:15" x14ac:dyDescent="0.2">
      <c r="B11" s="1" t="s">
        <v>42</v>
      </c>
      <c r="C11" s="13"/>
      <c r="D11" s="26"/>
      <c r="E11" s="26"/>
      <c r="F11" s="26"/>
      <c r="G11" s="26"/>
      <c r="H11" s="26"/>
      <c r="I11" s="26"/>
      <c r="J11" s="26"/>
      <c r="K11" s="26"/>
      <c r="L11" s="26"/>
      <c r="M11" s="26"/>
      <c r="N11" s="26"/>
      <c r="O11" s="26"/>
    </row>
    <row r="13" spans="2:15" x14ac:dyDescent="0.2">
      <c r="B13" s="24" t="s">
        <v>60</v>
      </c>
      <c r="C13" s="28"/>
      <c r="D13" s="25">
        <f t="shared" ref="D13:O13" ca="1" si="1">OFFSET(D13,$K$2,,,)</f>
        <v>0</v>
      </c>
      <c r="E13" s="25">
        <f t="shared" ca="1" si="1"/>
        <v>0</v>
      </c>
      <c r="F13" s="25">
        <f t="shared" ca="1" si="1"/>
        <v>0</v>
      </c>
      <c r="G13" s="25">
        <f t="shared" ca="1" si="1"/>
        <v>0</v>
      </c>
      <c r="H13" s="25">
        <f t="shared" ca="1" si="1"/>
        <v>0</v>
      </c>
      <c r="I13" s="25">
        <f t="shared" ca="1" si="1"/>
        <v>0</v>
      </c>
      <c r="J13" s="25">
        <f t="shared" ca="1" si="1"/>
        <v>0</v>
      </c>
      <c r="K13" s="25">
        <f t="shared" ca="1" si="1"/>
        <v>0</v>
      </c>
      <c r="L13" s="25">
        <f t="shared" ca="1" si="1"/>
        <v>0</v>
      </c>
      <c r="M13" s="25">
        <f t="shared" ca="1" si="1"/>
        <v>0</v>
      </c>
      <c r="N13" s="25">
        <f t="shared" ca="1" si="1"/>
        <v>0</v>
      </c>
      <c r="O13" s="25">
        <f t="shared" ca="1" si="1"/>
        <v>0</v>
      </c>
    </row>
    <row r="14" spans="2:15" x14ac:dyDescent="0.2">
      <c r="B14" s="1" t="s">
        <v>58</v>
      </c>
      <c r="C14" s="13"/>
      <c r="D14" s="26"/>
      <c r="E14" s="26"/>
      <c r="F14" s="26"/>
      <c r="G14" s="26"/>
      <c r="H14" s="26"/>
      <c r="I14" s="26"/>
      <c r="J14" s="26"/>
      <c r="K14" s="26"/>
      <c r="L14" s="26"/>
      <c r="M14" s="26"/>
      <c r="N14" s="26"/>
      <c r="O14" s="26"/>
    </row>
    <row r="15" spans="2:15" x14ac:dyDescent="0.2">
      <c r="B15" s="1" t="s">
        <v>59</v>
      </c>
      <c r="C15" s="13"/>
      <c r="D15" s="26"/>
      <c r="E15" s="26"/>
      <c r="F15" s="26"/>
      <c r="G15" s="26"/>
      <c r="H15" s="26"/>
      <c r="I15" s="26"/>
      <c r="J15" s="26"/>
      <c r="K15" s="26"/>
      <c r="L15" s="26"/>
      <c r="M15" s="26"/>
      <c r="N15" s="26"/>
      <c r="O15" s="26"/>
    </row>
    <row r="16" spans="2:15" x14ac:dyDescent="0.2">
      <c r="B16" s="1" t="s">
        <v>42</v>
      </c>
      <c r="C16" s="13"/>
      <c r="D16" s="26"/>
      <c r="E16" s="26"/>
      <c r="F16" s="26"/>
      <c r="G16" s="26"/>
      <c r="H16" s="26"/>
      <c r="I16" s="26"/>
      <c r="J16" s="26"/>
      <c r="K16" s="26"/>
      <c r="L16" s="26"/>
      <c r="M16" s="26"/>
      <c r="N16" s="26"/>
      <c r="O16" s="26"/>
    </row>
    <row r="17" spans="2:15" x14ac:dyDescent="0.2">
      <c r="C17" s="13"/>
      <c r="D17" s="26"/>
      <c r="E17" s="26"/>
      <c r="F17" s="26"/>
      <c r="G17" s="26"/>
      <c r="H17" s="26"/>
      <c r="I17" s="26"/>
      <c r="J17" s="26"/>
      <c r="K17" s="26"/>
      <c r="L17" s="26"/>
      <c r="M17" s="26"/>
      <c r="N17" s="26"/>
      <c r="O17" s="26"/>
    </row>
    <row r="18" spans="2:15" x14ac:dyDescent="0.2">
      <c r="B18" s="24" t="s">
        <v>60</v>
      </c>
      <c r="C18" s="28"/>
      <c r="D18" s="25">
        <f t="shared" ref="D18:O18" ca="1" si="2">OFFSET(D18,$K$2,,,)</f>
        <v>0</v>
      </c>
      <c r="E18" s="25">
        <f t="shared" ca="1" si="2"/>
        <v>0</v>
      </c>
      <c r="F18" s="25">
        <f t="shared" ca="1" si="2"/>
        <v>0</v>
      </c>
      <c r="G18" s="25">
        <f t="shared" ca="1" si="2"/>
        <v>0</v>
      </c>
      <c r="H18" s="25">
        <f t="shared" ca="1" si="2"/>
        <v>0</v>
      </c>
      <c r="I18" s="25">
        <f t="shared" ca="1" si="2"/>
        <v>0</v>
      </c>
      <c r="J18" s="25">
        <f t="shared" ca="1" si="2"/>
        <v>0</v>
      </c>
      <c r="K18" s="25">
        <f t="shared" ca="1" si="2"/>
        <v>0</v>
      </c>
      <c r="L18" s="25">
        <f t="shared" ca="1" si="2"/>
        <v>0</v>
      </c>
      <c r="M18" s="25">
        <f t="shared" ca="1" si="2"/>
        <v>0</v>
      </c>
      <c r="N18" s="25">
        <f t="shared" ca="1" si="2"/>
        <v>0</v>
      </c>
      <c r="O18" s="25">
        <f t="shared" ca="1" si="2"/>
        <v>0</v>
      </c>
    </row>
    <row r="19" spans="2:15" x14ac:dyDescent="0.2">
      <c r="B19" s="1" t="s">
        <v>58</v>
      </c>
      <c r="C19" s="13"/>
      <c r="D19" s="30"/>
      <c r="E19" s="30"/>
      <c r="F19" s="30"/>
      <c r="G19" s="30"/>
      <c r="H19" s="30"/>
      <c r="I19" s="30"/>
      <c r="J19" s="30"/>
      <c r="K19" s="30"/>
      <c r="L19" s="30"/>
      <c r="M19" s="30"/>
      <c r="N19" s="30"/>
      <c r="O19" s="30"/>
    </row>
    <row r="20" spans="2:15" x14ac:dyDescent="0.2">
      <c r="B20" s="1" t="s">
        <v>59</v>
      </c>
      <c r="C20" s="13"/>
      <c r="D20" s="30"/>
      <c r="E20" s="30"/>
      <c r="F20" s="30"/>
      <c r="G20" s="30"/>
      <c r="H20" s="30"/>
      <c r="I20" s="30"/>
      <c r="J20" s="30"/>
      <c r="K20" s="30"/>
      <c r="L20" s="30"/>
      <c r="M20" s="30"/>
      <c r="N20" s="30"/>
      <c r="O20" s="30"/>
    </row>
    <row r="21" spans="2:15" x14ac:dyDescent="0.2">
      <c r="B21" s="1" t="s">
        <v>42</v>
      </c>
      <c r="C21" s="13"/>
      <c r="D21" s="30"/>
      <c r="E21" s="30"/>
      <c r="F21" s="30"/>
      <c r="G21" s="30"/>
      <c r="H21" s="30"/>
      <c r="I21" s="30"/>
      <c r="J21" s="30"/>
      <c r="K21" s="30"/>
      <c r="L21" s="30"/>
      <c r="M21" s="30"/>
      <c r="N21" s="30"/>
      <c r="O21" s="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7285-8C89-42E3-874A-ADB34CE3D57B}">
  <dimension ref="C2:AD222"/>
  <sheetViews>
    <sheetView showGridLines="0" tabSelected="1" zoomScaleNormal="100" workbookViewId="0">
      <pane xSplit="4" ySplit="3" topLeftCell="Q4" activePane="bottomRight" state="frozen"/>
      <selection activeCell="E3" sqref="E3"/>
      <selection pane="topRight" activeCell="E3" sqref="E3"/>
      <selection pane="bottomLeft" activeCell="E3" sqref="E3"/>
      <selection pane="bottomRight"/>
    </sheetView>
  </sheetViews>
  <sheetFormatPr defaultColWidth="9.140625" defaultRowHeight="12.75" outlineLevelCol="1" x14ac:dyDescent="0.2"/>
  <cols>
    <col min="1" max="2" width="2.7109375" style="1" customWidth="1"/>
    <col min="3" max="3" width="63.85546875" style="1" bestFit="1" customWidth="1"/>
    <col min="4" max="4" width="2.7109375" style="1" customWidth="1"/>
    <col min="5" max="7" width="10.5703125" style="1" customWidth="1"/>
    <col min="8" max="11" width="10.5703125" style="1" hidden="1" customWidth="1" outlineLevel="1"/>
    <col min="12" max="12" width="10.5703125" style="1" customWidth="1" collapsed="1"/>
    <col min="13" max="16" width="10.5703125" style="1" hidden="1" customWidth="1" outlineLevel="1"/>
    <col min="17" max="17" width="10.5703125" style="1" customWidth="1" collapsed="1"/>
    <col min="18" max="21" width="10.5703125" style="1" customWidth="1" outlineLevel="1"/>
    <col min="22" max="22" width="10.5703125" style="1" customWidth="1"/>
    <col min="23" max="26" width="10.5703125" style="1" customWidth="1" outlineLevel="1"/>
    <col min="27" max="28" width="10.5703125" style="1" customWidth="1"/>
    <col min="29" max="29" width="9.140625" style="1"/>
    <col min="30" max="30" width="55.85546875" style="1" bestFit="1" customWidth="1"/>
    <col min="31" max="16384" width="9.140625" style="1"/>
  </cols>
  <sheetData>
    <row r="2" spans="3:30" x14ac:dyDescent="0.2">
      <c r="C2" s="29" t="str">
        <f>IF(D2=1,"Base Case", IF(D2=2,"Bull Case", IF(D2=3,"Bear Case","-")))</f>
        <v>Base Case</v>
      </c>
      <c r="D2" s="18">
        <v>1</v>
      </c>
    </row>
    <row r="3" spans="3:30" x14ac:dyDescent="0.2">
      <c r="C3" s="22" t="s">
        <v>115</v>
      </c>
      <c r="D3" s="35"/>
      <c r="E3" s="35">
        <v>2017</v>
      </c>
      <c r="F3" s="35">
        <v>2018</v>
      </c>
      <c r="G3" s="35">
        <v>2019</v>
      </c>
      <c r="H3" s="12" t="s">
        <v>23</v>
      </c>
      <c r="I3" s="12" t="s">
        <v>24</v>
      </c>
      <c r="J3" s="12" t="s">
        <v>25</v>
      </c>
      <c r="K3" s="12" t="s">
        <v>27</v>
      </c>
      <c r="L3" s="35">
        <v>2020</v>
      </c>
      <c r="M3" s="12" t="s">
        <v>21</v>
      </c>
      <c r="N3" s="12" t="s">
        <v>22</v>
      </c>
      <c r="O3" s="12" t="s">
        <v>28</v>
      </c>
      <c r="P3" s="12" t="s">
        <v>26</v>
      </c>
      <c r="Q3" s="35">
        <v>2021</v>
      </c>
      <c r="R3" s="12" t="s">
        <v>30</v>
      </c>
      <c r="S3" s="12" t="s">
        <v>31</v>
      </c>
      <c r="T3" s="12" t="s">
        <v>32</v>
      </c>
      <c r="U3" s="12" t="s">
        <v>33</v>
      </c>
      <c r="V3" s="35">
        <v>2022</v>
      </c>
      <c r="W3" s="12" t="s">
        <v>34</v>
      </c>
      <c r="X3" s="12" t="s">
        <v>35</v>
      </c>
      <c r="Y3" s="12" t="s">
        <v>36</v>
      </c>
      <c r="Z3" s="12" t="s">
        <v>37</v>
      </c>
      <c r="AA3" s="35">
        <f>+V3+1</f>
        <v>2023</v>
      </c>
      <c r="AB3" s="35">
        <f>+AA3+1</f>
        <v>2024</v>
      </c>
      <c r="AD3" s="66" t="s">
        <v>191</v>
      </c>
    </row>
    <row r="4" spans="3:30" x14ac:dyDescent="0.2">
      <c r="C4" s="1" t="s">
        <v>44</v>
      </c>
      <c r="E4" s="2">
        <v>1450448</v>
      </c>
      <c r="F4" s="2">
        <v>1842912</v>
      </c>
      <c r="G4" s="2">
        <v>2293798</v>
      </c>
      <c r="H4" s="2"/>
      <c r="I4" s="2"/>
      <c r="J4" s="2"/>
      <c r="K4" s="2"/>
      <c r="L4" s="2">
        <v>2659478</v>
      </c>
      <c r="M4" s="2"/>
      <c r="N4" s="2"/>
      <c r="O4" s="2"/>
      <c r="P4" s="2"/>
      <c r="Q4" s="2">
        <v>3758144</v>
      </c>
      <c r="R4" s="2">
        <v>1171614</v>
      </c>
      <c r="S4" s="2">
        <v>1194861</v>
      </c>
      <c r="T4" s="2">
        <v>1226920</v>
      </c>
      <c r="U4" s="2">
        <v>1231303</v>
      </c>
      <c r="V4" s="2">
        <v>4824698</v>
      </c>
      <c r="W4" s="2">
        <v>1210941</v>
      </c>
      <c r="X4" s="2"/>
      <c r="Y4" s="2"/>
      <c r="Z4" s="2"/>
      <c r="AA4" s="2"/>
      <c r="AB4" s="2"/>
      <c r="AD4" s="1" t="s">
        <v>192</v>
      </c>
    </row>
    <row r="5" spans="3:30" x14ac:dyDescent="0.2">
      <c r="C5" s="1" t="s">
        <v>0</v>
      </c>
      <c r="E5" s="2">
        <v>-921352</v>
      </c>
      <c r="F5" s="2">
        <v>-1186921</v>
      </c>
      <c r="G5" s="2">
        <v>-1488198</v>
      </c>
      <c r="H5" s="2"/>
      <c r="I5" s="2"/>
      <c r="J5" s="2"/>
      <c r="K5" s="2"/>
      <c r="L5" s="2">
        <v>-1732522</v>
      </c>
      <c r="M5" s="2"/>
      <c r="N5" s="2"/>
      <c r="O5" s="2"/>
      <c r="P5" s="2"/>
      <c r="Q5" s="2">
        <v>-2483697</v>
      </c>
      <c r="R5" s="2">
        <v>-780836</v>
      </c>
      <c r="S5" s="2">
        <v>-846323</v>
      </c>
      <c r="T5" s="2">
        <v>-826796</v>
      </c>
      <c r="U5" s="2">
        <v>-832728</v>
      </c>
      <c r="V5" s="2">
        <v>-3286683</v>
      </c>
      <c r="W5" s="2">
        <v>-855901</v>
      </c>
      <c r="X5" s="2"/>
      <c r="Y5" s="2"/>
      <c r="Z5" s="2"/>
      <c r="AA5" s="2"/>
      <c r="AB5" s="2"/>
      <c r="AD5" s="1" t="s">
        <v>193</v>
      </c>
    </row>
    <row r="6" spans="3:30" x14ac:dyDescent="0.2">
      <c r="C6" s="4" t="s">
        <v>1</v>
      </c>
      <c r="D6" s="4"/>
      <c r="E6" s="6">
        <f t="shared" ref="E6:X6" si="0">+SUM(E4:E5)</f>
        <v>529096</v>
      </c>
      <c r="F6" s="6">
        <f t="shared" si="0"/>
        <v>655991</v>
      </c>
      <c r="G6" s="6">
        <f t="shared" si="0"/>
        <v>805600</v>
      </c>
      <c r="H6" s="6">
        <f t="shared" si="0"/>
        <v>0</v>
      </c>
      <c r="I6" s="6">
        <f t="shared" si="0"/>
        <v>0</v>
      </c>
      <c r="J6" s="6">
        <f t="shared" si="0"/>
        <v>0</v>
      </c>
      <c r="K6" s="6">
        <f t="shared" si="0"/>
        <v>0</v>
      </c>
      <c r="L6" s="6">
        <f t="shared" si="0"/>
        <v>926956</v>
      </c>
      <c r="M6" s="6">
        <f t="shared" si="0"/>
        <v>0</v>
      </c>
      <c r="N6" s="6">
        <f t="shared" si="0"/>
        <v>0</v>
      </c>
      <c r="O6" s="6">
        <f t="shared" si="0"/>
        <v>0</v>
      </c>
      <c r="P6" s="6">
        <f t="shared" si="0"/>
        <v>0</v>
      </c>
      <c r="Q6" s="6">
        <f t="shared" si="0"/>
        <v>1274447</v>
      </c>
      <c r="R6" s="6">
        <f t="shared" si="0"/>
        <v>390778</v>
      </c>
      <c r="S6" s="6">
        <f t="shared" si="0"/>
        <v>348538</v>
      </c>
      <c r="T6" s="6">
        <f t="shared" si="0"/>
        <v>400124</v>
      </c>
      <c r="U6" s="6">
        <f t="shared" si="0"/>
        <v>398575</v>
      </c>
      <c r="V6" s="6">
        <f t="shared" si="0"/>
        <v>1538015</v>
      </c>
      <c r="W6" s="6">
        <f t="shared" si="0"/>
        <v>355040</v>
      </c>
      <c r="X6" s="6">
        <f t="shared" si="0"/>
        <v>0</v>
      </c>
      <c r="Y6" s="6"/>
      <c r="Z6" s="6"/>
      <c r="AA6" s="6">
        <f>+SUM(AA4:AA5)</f>
        <v>0</v>
      </c>
      <c r="AB6" s="6">
        <f>+SUM(AB4:AB5)</f>
        <v>0</v>
      </c>
      <c r="AD6" s="1" t="s">
        <v>194</v>
      </c>
    </row>
    <row r="7" spans="3:30" x14ac:dyDescent="0.2">
      <c r="C7" s="7" t="s">
        <v>77</v>
      </c>
      <c r="D7" s="7"/>
      <c r="E7" s="8">
        <f t="shared" ref="E7:AB7" si="1">IFERROR(+E6/E4,"-")</f>
        <v>0.3647810883258138</v>
      </c>
      <c r="F7" s="8">
        <f t="shared" si="1"/>
        <v>0.35595351270163739</v>
      </c>
      <c r="G7" s="8">
        <f t="shared" si="1"/>
        <v>0.35120790932767404</v>
      </c>
      <c r="H7" s="8" t="str">
        <f t="shared" si="1"/>
        <v>-</v>
      </c>
      <c r="I7" s="8" t="str">
        <f t="shared" si="1"/>
        <v>-</v>
      </c>
      <c r="J7" s="8" t="str">
        <f t="shared" si="1"/>
        <v>-</v>
      </c>
      <c r="K7" s="8" t="str">
        <f t="shared" si="1"/>
        <v>-</v>
      </c>
      <c r="L7" s="8">
        <f t="shared" si="1"/>
        <v>0.3485480985366301</v>
      </c>
      <c r="M7" s="8" t="str">
        <f t="shared" si="1"/>
        <v>-</v>
      </c>
      <c r="N7" s="8" t="str">
        <f t="shared" si="1"/>
        <v>-</v>
      </c>
      <c r="O7" s="8" t="str">
        <f t="shared" si="1"/>
        <v>-</v>
      </c>
      <c r="P7" s="8" t="str">
        <f t="shared" si="1"/>
        <v>-</v>
      </c>
      <c r="Q7" s="8">
        <f t="shared" si="1"/>
        <v>0.33911606367398378</v>
      </c>
      <c r="R7" s="8">
        <f t="shared" si="1"/>
        <v>0.33353817895655052</v>
      </c>
      <c r="S7" s="8">
        <f t="shared" si="1"/>
        <v>0.2916975279969804</v>
      </c>
      <c r="T7" s="8">
        <f t="shared" si="1"/>
        <v>0.32612069246568642</v>
      </c>
      <c r="U7" s="8">
        <f t="shared" si="1"/>
        <v>0.32370180207471272</v>
      </c>
      <c r="V7" s="8">
        <f t="shared" si="1"/>
        <v>0.31877953811824078</v>
      </c>
      <c r="W7" s="8">
        <f t="shared" si="1"/>
        <v>0.2931934751569234</v>
      </c>
      <c r="X7" s="8" t="str">
        <f t="shared" si="1"/>
        <v>-</v>
      </c>
      <c r="Y7" s="8" t="str">
        <f t="shared" si="1"/>
        <v>-</v>
      </c>
      <c r="Z7" s="8" t="str">
        <f t="shared" si="1"/>
        <v>-</v>
      </c>
      <c r="AA7" s="8" t="str">
        <f t="shared" si="1"/>
        <v>-</v>
      </c>
      <c r="AB7" s="8" t="str">
        <f t="shared" si="1"/>
        <v>-</v>
      </c>
      <c r="AD7" s="1" t="s">
        <v>198</v>
      </c>
    </row>
    <row r="8" spans="3:30" x14ac:dyDescent="0.2">
      <c r="C8" s="3"/>
      <c r="D8" s="3"/>
      <c r="E8" s="5"/>
      <c r="F8" s="5"/>
      <c r="G8" s="5"/>
      <c r="H8" s="5"/>
      <c r="I8" s="5"/>
      <c r="J8" s="5"/>
      <c r="K8" s="5"/>
      <c r="L8" s="5"/>
      <c r="M8" s="5"/>
      <c r="N8" s="5"/>
      <c r="O8" s="5"/>
      <c r="P8" s="5"/>
      <c r="Q8" s="5"/>
      <c r="R8" s="5"/>
      <c r="S8" s="5"/>
      <c r="T8" s="5"/>
      <c r="U8" s="5"/>
      <c r="V8" s="5"/>
      <c r="W8" s="5"/>
      <c r="X8" s="5"/>
      <c r="Y8" s="5"/>
      <c r="Z8" s="5"/>
      <c r="AA8" s="5"/>
      <c r="AB8" s="5"/>
    </row>
    <row r="9" spans="3:30" x14ac:dyDescent="0.2">
      <c r="C9" s="1" t="s">
        <v>99</v>
      </c>
      <c r="E9" s="2">
        <v>-327588</v>
      </c>
      <c r="F9" s="2">
        <v>-373587</v>
      </c>
      <c r="G9" s="2">
        <v>-457433</v>
      </c>
      <c r="H9" s="2"/>
      <c r="I9" s="2"/>
      <c r="J9" s="2"/>
      <c r="K9" s="2"/>
      <c r="L9" s="2">
        <v>-484758</v>
      </c>
      <c r="M9" s="2"/>
      <c r="N9" s="2"/>
      <c r="O9" s="2"/>
      <c r="P9" s="2"/>
      <c r="Q9" s="2">
        <v>-648736</v>
      </c>
      <c r="R9" s="2">
        <v>-237277</v>
      </c>
      <c r="S9" s="2">
        <v>-232527</v>
      </c>
      <c r="T9" s="2">
        <v>-198021</v>
      </c>
      <c r="U9" s="2">
        <v>-204952</v>
      </c>
      <c r="V9" s="2">
        <v>-872777</v>
      </c>
      <c r="W9" s="2">
        <v>-211887</v>
      </c>
      <c r="X9" s="2"/>
      <c r="Y9" s="2"/>
      <c r="Z9" s="2"/>
      <c r="AA9" s="2"/>
      <c r="AB9" s="2"/>
    </row>
    <row r="10" spans="3:30" x14ac:dyDescent="0.2">
      <c r="C10" s="4" t="s">
        <v>29</v>
      </c>
      <c r="D10" s="4"/>
      <c r="E10" s="6">
        <f>+E6+SUM(E9:E9)</f>
        <v>201508</v>
      </c>
      <c r="F10" s="6">
        <f>+F6+SUM(F9:F9)</f>
        <v>282404</v>
      </c>
      <c r="G10" s="6">
        <f>+G6+SUM(G9:G9)</f>
        <v>348167</v>
      </c>
      <c r="H10" s="6">
        <f>+H6+SUM(H9:H9)</f>
        <v>0</v>
      </c>
      <c r="I10" s="6">
        <f>+I6+SUM(I9:I9)</f>
        <v>0</v>
      </c>
      <c r="J10" s="6">
        <f>+J6+SUM(J9:J9)</f>
        <v>0</v>
      </c>
      <c r="K10" s="6">
        <f>+K6+SUM(K9:K9)</f>
        <v>0</v>
      </c>
      <c r="L10" s="6">
        <f>+L6+SUM(L9:L9)</f>
        <v>442198</v>
      </c>
      <c r="M10" s="6">
        <f>+M6+SUM(M9:M9)</f>
        <v>0</v>
      </c>
      <c r="N10" s="6">
        <f>+N6+SUM(N9:N9)</f>
        <v>0</v>
      </c>
      <c r="O10" s="6">
        <f>+O6+SUM(O9:O9)</f>
        <v>0</v>
      </c>
      <c r="P10" s="6">
        <f>+P6+SUM(P9:P9)</f>
        <v>0</v>
      </c>
      <c r="Q10" s="6">
        <f>+Q6+SUM(Q9:Q9)</f>
        <v>625711</v>
      </c>
      <c r="R10" s="6">
        <f>+R6+SUM(R9:R9)</f>
        <v>153501</v>
      </c>
      <c r="S10" s="6">
        <f>+S6+SUM(S9:S9)</f>
        <v>116011</v>
      </c>
      <c r="T10" s="6">
        <f>+T6+SUM(T9:T9)</f>
        <v>202103</v>
      </c>
      <c r="U10" s="6">
        <f>+U6+SUM(U9:U9)</f>
        <v>193623</v>
      </c>
      <c r="V10" s="6">
        <f>+V6+SUM(V9:V9)</f>
        <v>665238</v>
      </c>
      <c r="W10" s="6">
        <f>+W6+SUM(W9:W9)</f>
        <v>143153</v>
      </c>
      <c r="X10" s="6">
        <f>+X6+SUM(X9:X9)</f>
        <v>0</v>
      </c>
      <c r="Y10" s="6">
        <f>+Y6+SUM(Y9:Y9)</f>
        <v>0</v>
      </c>
      <c r="Z10" s="6">
        <f>+Z6+SUM(Z9:Z9)</f>
        <v>0</v>
      </c>
      <c r="AA10" s="6">
        <f>+AA6+SUM(AA9:AA9)</f>
        <v>0</v>
      </c>
      <c r="AB10" s="6">
        <f>+AB6+SUM(AB9:AB9)</f>
        <v>0</v>
      </c>
    </row>
    <row r="11" spans="3:30" x14ac:dyDescent="0.2">
      <c r="C11" s="7" t="s">
        <v>67</v>
      </c>
      <c r="D11" s="7"/>
      <c r="E11" s="8">
        <f>IFERROR(+E10/E4,"-")</f>
        <v>0.13892811048724257</v>
      </c>
      <c r="F11" s="8">
        <f>IFERROR(+F10/F4,"-")</f>
        <v>0.15323791911930684</v>
      </c>
      <c r="G11" s="8">
        <f>IFERROR(+G10/G4,"-")</f>
        <v>0.15178625144847105</v>
      </c>
      <c r="H11" s="8" t="str">
        <f>IFERROR(+H10/H4,"-")</f>
        <v>-</v>
      </c>
      <c r="I11" s="8" t="str">
        <f>IFERROR(+I10/I4,"-")</f>
        <v>-</v>
      </c>
      <c r="J11" s="8" t="str">
        <f>IFERROR(+J10/J4,"-")</f>
        <v>-</v>
      </c>
      <c r="K11" s="8" t="str">
        <f>IFERROR(+K10/K4,"-")</f>
        <v>-</v>
      </c>
      <c r="L11" s="8">
        <f>IFERROR(+L10/L4,"-")</f>
        <v>0.16627247903535958</v>
      </c>
      <c r="M11" s="8" t="str">
        <f>IFERROR(+M10/M4,"-")</f>
        <v>-</v>
      </c>
      <c r="N11" s="8" t="str">
        <f>IFERROR(+N10/N4,"-")</f>
        <v>-</v>
      </c>
      <c r="O11" s="8" t="str">
        <f>IFERROR(+O10/O4,"-")</f>
        <v>-</v>
      </c>
      <c r="P11" s="8" t="str">
        <f>IFERROR(+P10/P4,"-")</f>
        <v>-</v>
      </c>
      <c r="Q11" s="8">
        <f>IFERROR(+Q10/Q4,"-")</f>
        <v>0.16649468461027572</v>
      </c>
      <c r="R11" s="8">
        <f>IFERROR(+R10/R4,"-")</f>
        <v>0.13101670003943278</v>
      </c>
      <c r="S11" s="8">
        <f>IFERROR(+S10/S4,"-")</f>
        <v>9.7091628231233587E-2</v>
      </c>
      <c r="T11" s="8">
        <f>IFERROR(+T10/T4,"-")</f>
        <v>0.16472386137645487</v>
      </c>
      <c r="U11" s="8">
        <f>IFERROR(+U10/U4,"-")</f>
        <v>0.15725048992814927</v>
      </c>
      <c r="V11" s="8">
        <f>IFERROR(+V10/V4,"-")</f>
        <v>0.13788179073591755</v>
      </c>
      <c r="W11" s="8">
        <f>IFERROR(+W10/W4,"-")</f>
        <v>0.118216329284416</v>
      </c>
      <c r="X11" s="8" t="str">
        <f>IFERROR(+X10/X4,"-")</f>
        <v>-</v>
      </c>
      <c r="Y11" s="8" t="str">
        <f>IFERROR(+Y10/Y4,"-")</f>
        <v>-</v>
      </c>
      <c r="Z11" s="8" t="str">
        <f>IFERROR(+Z10/Z4,"-")</f>
        <v>-</v>
      </c>
      <c r="AA11" s="8" t="str">
        <f>IFERROR(+AA10/AA4,"-")</f>
        <v>-</v>
      </c>
      <c r="AB11" s="8" t="str">
        <f>IFERROR(+AB10/AB4,"-")</f>
        <v>-</v>
      </c>
    </row>
    <row r="12" spans="3:30" x14ac:dyDescent="0.2">
      <c r="C12" s="7"/>
      <c r="D12" s="7"/>
      <c r="E12" s="8"/>
      <c r="F12" s="8"/>
      <c r="G12" s="8"/>
      <c r="H12" s="8"/>
      <c r="I12" s="8"/>
      <c r="J12" s="8"/>
      <c r="K12" s="8"/>
      <c r="L12" s="8"/>
      <c r="M12" s="8"/>
      <c r="N12" s="8"/>
      <c r="O12" s="8"/>
      <c r="P12" s="8"/>
      <c r="Q12" s="8"/>
      <c r="R12" s="8"/>
      <c r="S12" s="8"/>
      <c r="T12" s="8"/>
      <c r="U12" s="8"/>
      <c r="V12" s="8"/>
      <c r="W12" s="8"/>
      <c r="X12" s="8"/>
      <c r="Y12" s="8"/>
      <c r="Z12" s="8"/>
      <c r="AA12" s="8"/>
      <c r="AB12" s="8"/>
    </row>
    <row r="13" spans="3:30" x14ac:dyDescent="0.2">
      <c r="C13" s="1" t="s">
        <v>14</v>
      </c>
      <c r="E13" s="2">
        <v>-28562</v>
      </c>
      <c r="F13" s="2">
        <v>-36640</v>
      </c>
      <c r="G13" s="2">
        <v>-45317</v>
      </c>
      <c r="H13" s="2"/>
      <c r="I13" s="2"/>
      <c r="J13" s="2"/>
      <c r="K13" s="2"/>
      <c r="L13" s="2">
        <v>-62874</v>
      </c>
      <c r="M13" s="2"/>
      <c r="N13" s="2"/>
      <c r="O13" s="2"/>
      <c r="P13" s="2"/>
      <c r="Q13" s="2">
        <v>-83395</v>
      </c>
      <c r="R13" s="2">
        <v>-24259</v>
      </c>
      <c r="S13" s="2">
        <v>-22991</v>
      </c>
      <c r="T13" s="2">
        <v>-21876</v>
      </c>
      <c r="U13" s="2">
        <v>-23146</v>
      </c>
      <c r="V13" s="2">
        <v>-92272</v>
      </c>
      <c r="W13" s="2">
        <v>-22782</v>
      </c>
      <c r="X13" s="2"/>
      <c r="Y13" s="2"/>
      <c r="Z13" s="2"/>
      <c r="AA13" s="2"/>
      <c r="AB13" s="2"/>
    </row>
    <row r="14" spans="3:30" x14ac:dyDescent="0.2">
      <c r="C14" s="4" t="s">
        <v>2</v>
      </c>
      <c r="D14" s="4"/>
      <c r="E14" s="6">
        <f>+E10+E13</f>
        <v>172946</v>
      </c>
      <c r="F14" s="6">
        <f>+F10+F13</f>
        <v>245764</v>
      </c>
      <c r="G14" s="6">
        <f>+G10+G13</f>
        <v>302850</v>
      </c>
      <c r="H14" s="6">
        <f t="shared" ref="H14:V14" si="2">+H10+H13</f>
        <v>0</v>
      </c>
      <c r="I14" s="6">
        <f t="shared" si="2"/>
        <v>0</v>
      </c>
      <c r="J14" s="6">
        <f t="shared" si="2"/>
        <v>0</v>
      </c>
      <c r="K14" s="6">
        <f t="shared" si="2"/>
        <v>0</v>
      </c>
      <c r="L14" s="6">
        <f t="shared" si="2"/>
        <v>379324</v>
      </c>
      <c r="M14" s="6">
        <f t="shared" si="2"/>
        <v>0</v>
      </c>
      <c r="N14" s="6">
        <f t="shared" si="2"/>
        <v>0</v>
      </c>
      <c r="O14" s="6">
        <f t="shared" si="2"/>
        <v>0</v>
      </c>
      <c r="P14" s="6">
        <f t="shared" si="2"/>
        <v>0</v>
      </c>
      <c r="Q14" s="6">
        <f t="shared" si="2"/>
        <v>542316</v>
      </c>
      <c r="R14" s="6">
        <f t="shared" si="2"/>
        <v>129242</v>
      </c>
      <c r="S14" s="6">
        <f t="shared" si="2"/>
        <v>93020</v>
      </c>
      <c r="T14" s="6">
        <f t="shared" si="2"/>
        <v>180227</v>
      </c>
      <c r="U14" s="6">
        <f t="shared" si="2"/>
        <v>170477</v>
      </c>
      <c r="V14" s="6">
        <f t="shared" si="2"/>
        <v>572966</v>
      </c>
      <c r="W14" s="6">
        <f t="shared" ref="W14:AB14" si="3">+W10+W13</f>
        <v>120371</v>
      </c>
      <c r="X14" s="6">
        <f t="shared" si="3"/>
        <v>0</v>
      </c>
      <c r="Y14" s="6">
        <f t="shared" si="3"/>
        <v>0</v>
      </c>
      <c r="Z14" s="6">
        <f t="shared" si="3"/>
        <v>0</v>
      </c>
      <c r="AA14" s="6">
        <f t="shared" si="3"/>
        <v>0</v>
      </c>
      <c r="AB14" s="6">
        <f t="shared" si="3"/>
        <v>0</v>
      </c>
    </row>
    <row r="15" spans="3:30" x14ac:dyDescent="0.2">
      <c r="C15" s="7" t="s">
        <v>82</v>
      </c>
      <c r="D15" s="7"/>
      <c r="E15" s="8">
        <f t="shared" ref="E15:U15" si="4">IFERROR(+E14/E$4,"-")</f>
        <v>0.11923626355443284</v>
      </c>
      <c r="F15" s="8">
        <f t="shared" si="4"/>
        <v>0.13335634040040978</v>
      </c>
      <c r="G15" s="8">
        <f t="shared" si="4"/>
        <v>0.13202993463243057</v>
      </c>
      <c r="H15" s="8" t="str">
        <f t="shared" si="4"/>
        <v>-</v>
      </c>
      <c r="I15" s="8" t="str">
        <f t="shared" si="4"/>
        <v>-</v>
      </c>
      <c r="J15" s="8" t="str">
        <f t="shared" si="4"/>
        <v>-</v>
      </c>
      <c r="K15" s="8" t="str">
        <f t="shared" si="4"/>
        <v>-</v>
      </c>
      <c r="L15" s="8">
        <f t="shared" si="4"/>
        <v>0.14263099751154174</v>
      </c>
      <c r="M15" s="8" t="str">
        <f t="shared" si="4"/>
        <v>-</v>
      </c>
      <c r="N15" s="8" t="str">
        <f t="shared" si="4"/>
        <v>-</v>
      </c>
      <c r="O15" s="8" t="str">
        <f t="shared" si="4"/>
        <v>-</v>
      </c>
      <c r="P15" s="8" t="str">
        <f t="shared" si="4"/>
        <v>-</v>
      </c>
      <c r="Q15" s="8">
        <f t="shared" si="4"/>
        <v>0.14430420973757258</v>
      </c>
      <c r="R15" s="8">
        <f t="shared" si="4"/>
        <v>0.11031107514932392</v>
      </c>
      <c r="S15" s="8">
        <f t="shared" si="4"/>
        <v>7.7850059546675301E-2</v>
      </c>
      <c r="T15" s="8">
        <f t="shared" si="4"/>
        <v>0.14689384800965019</v>
      </c>
      <c r="U15" s="8">
        <f t="shared" si="4"/>
        <v>0.13845251737387143</v>
      </c>
      <c r="V15" s="8">
        <f>IFERROR(+V14/V$4,"-")</f>
        <v>0.11875686312386806</v>
      </c>
      <c r="W15" s="8">
        <f t="shared" ref="W15:AB15" si="5">IFERROR(+W14/W$4,"-")</f>
        <v>9.9402861080762808E-2</v>
      </c>
      <c r="X15" s="8" t="str">
        <f t="shared" si="5"/>
        <v>-</v>
      </c>
      <c r="Y15" s="8" t="str">
        <f t="shared" si="5"/>
        <v>-</v>
      </c>
      <c r="Z15" s="8" t="str">
        <f t="shared" si="5"/>
        <v>-</v>
      </c>
      <c r="AA15" s="8" t="str">
        <f t="shared" si="5"/>
        <v>-</v>
      </c>
      <c r="AB15" s="8" t="str">
        <f t="shared" si="5"/>
        <v>-</v>
      </c>
    </row>
    <row r="16" spans="3:30" x14ac:dyDescent="0.2">
      <c r="C16" s="3"/>
      <c r="D16" s="3"/>
      <c r="E16" s="5"/>
      <c r="F16" s="5"/>
      <c r="G16" s="5"/>
      <c r="H16" s="5"/>
      <c r="I16" s="5"/>
      <c r="J16" s="5"/>
      <c r="K16" s="5"/>
      <c r="L16" s="5"/>
      <c r="M16" s="5"/>
      <c r="N16" s="5"/>
      <c r="O16" s="5"/>
      <c r="P16" s="5"/>
      <c r="Q16" s="5"/>
      <c r="R16" s="5"/>
      <c r="S16" s="5"/>
      <c r="T16" s="5"/>
      <c r="U16" s="5"/>
      <c r="V16" s="5"/>
      <c r="W16" s="5"/>
      <c r="X16" s="5"/>
      <c r="Y16" s="5"/>
      <c r="Z16" s="5"/>
      <c r="AA16" s="5"/>
      <c r="AB16" s="5"/>
    </row>
    <row r="17" spans="3:28" x14ac:dyDescent="0.2">
      <c r="C17" s="1" t="s">
        <v>100</v>
      </c>
      <c r="E17" s="2">
        <v>4601</v>
      </c>
      <c r="F17" s="2">
        <v>3522</v>
      </c>
      <c r="G17" s="2">
        <v>8725</v>
      </c>
      <c r="H17" s="2"/>
      <c r="I17" s="2"/>
      <c r="J17" s="2"/>
      <c r="K17" s="2"/>
      <c r="L17" s="2">
        <v>3822</v>
      </c>
      <c r="M17" s="2"/>
      <c r="N17" s="2"/>
      <c r="O17" s="2"/>
      <c r="P17" s="2"/>
      <c r="Q17" s="2">
        <v>-1727</v>
      </c>
      <c r="R17" s="2">
        <v>-165</v>
      </c>
      <c r="S17" s="2">
        <v>1579</v>
      </c>
      <c r="T17" s="2">
        <v>4228</v>
      </c>
      <c r="U17" s="2">
        <v>4383</v>
      </c>
      <c r="V17" s="2">
        <v>10025</v>
      </c>
      <c r="W17" s="2">
        <v>11521</v>
      </c>
      <c r="X17" s="2"/>
      <c r="Y17" s="2"/>
      <c r="Z17" s="2"/>
      <c r="AA17" s="2"/>
      <c r="AB17" s="2"/>
    </row>
    <row r="18" spans="3:28" x14ac:dyDescent="0.2">
      <c r="C18" s="1" t="s">
        <v>101</v>
      </c>
      <c r="E18" s="2">
        <v>-3242</v>
      </c>
      <c r="F18" s="2">
        <v>487</v>
      </c>
      <c r="G18" s="2">
        <v>-12049</v>
      </c>
      <c r="H18" s="2"/>
      <c r="I18" s="2"/>
      <c r="J18" s="2"/>
      <c r="K18" s="2"/>
      <c r="L18" s="2">
        <v>-4667</v>
      </c>
      <c r="M18" s="2"/>
      <c r="N18" s="2"/>
      <c r="O18" s="2"/>
      <c r="P18" s="2"/>
      <c r="Q18" s="2">
        <v>-7197</v>
      </c>
      <c r="R18" s="2">
        <v>-22785</v>
      </c>
      <c r="S18" s="2">
        <v>-85941</v>
      </c>
      <c r="T18" s="2">
        <v>6691</v>
      </c>
      <c r="U18" s="2">
        <v>26302</v>
      </c>
      <c r="V18" s="2">
        <v>-75733</v>
      </c>
      <c r="W18" s="2">
        <v>-4608</v>
      </c>
      <c r="X18" s="2"/>
      <c r="Y18" s="2"/>
      <c r="Z18" s="2"/>
      <c r="AA18" s="2"/>
      <c r="AB18" s="2"/>
    </row>
    <row r="19" spans="3:28" x14ac:dyDescent="0.2">
      <c r="C19" s="1" t="s">
        <v>65</v>
      </c>
      <c r="E19" s="2">
        <v>-101545</v>
      </c>
      <c r="F19" s="2">
        <v>-9517</v>
      </c>
      <c r="G19" s="2">
        <v>-38469</v>
      </c>
      <c r="H19" s="2"/>
      <c r="I19" s="2"/>
      <c r="J19" s="2"/>
      <c r="K19" s="2"/>
      <c r="L19" s="2">
        <v>-51319</v>
      </c>
      <c r="M19" s="2"/>
      <c r="N19" s="2"/>
      <c r="O19" s="2"/>
      <c r="P19" s="2"/>
      <c r="Q19" s="2">
        <v>-51740</v>
      </c>
      <c r="R19" s="2">
        <v>-16573</v>
      </c>
      <c r="S19" s="2">
        <v>9946</v>
      </c>
      <c r="T19" s="2">
        <v>-35092</v>
      </c>
      <c r="U19" s="2">
        <v>-46123</v>
      </c>
      <c r="V19" s="2">
        <v>-87842</v>
      </c>
      <c r="W19" s="2">
        <v>-24992</v>
      </c>
      <c r="X19" s="2"/>
      <c r="Y19" s="2"/>
      <c r="Z19" s="2"/>
      <c r="AA19" s="2"/>
      <c r="AB19" s="2"/>
    </row>
    <row r="20" spans="3:28" x14ac:dyDescent="0.2">
      <c r="C20" s="4" t="s">
        <v>45</v>
      </c>
      <c r="D20" s="4"/>
      <c r="E20" s="6">
        <f>+E14+SUM(E17:E19)</f>
        <v>72760</v>
      </c>
      <c r="F20" s="6">
        <f>+F14+SUM(F17:F19)</f>
        <v>240256</v>
      </c>
      <c r="G20" s="6">
        <f>+G14+SUM(G17:G19)</f>
        <v>261057</v>
      </c>
      <c r="H20" s="6">
        <f>+H14+SUM(H17:H19)</f>
        <v>0</v>
      </c>
      <c r="I20" s="6">
        <f>+I14+SUM(I17:I19)</f>
        <v>0</v>
      </c>
      <c r="J20" s="6">
        <f>+J14+SUM(J17:J19)</f>
        <v>0</v>
      </c>
      <c r="K20" s="6">
        <f>+K14+SUM(K17:K19)</f>
        <v>0</v>
      </c>
      <c r="L20" s="6">
        <f>+L14+SUM(L17:L19)</f>
        <v>327160</v>
      </c>
      <c r="M20" s="6">
        <f>+M14+SUM(M17:M19)</f>
        <v>0</v>
      </c>
      <c r="N20" s="6">
        <f>+N14+SUM(N17:N19)</f>
        <v>0</v>
      </c>
      <c r="O20" s="6">
        <f>+O14+SUM(O17:O19)</f>
        <v>0</v>
      </c>
      <c r="P20" s="6">
        <f>+P14+SUM(P17:P19)</f>
        <v>0</v>
      </c>
      <c r="Q20" s="6">
        <f>+Q14+SUM(Q17:Q19)</f>
        <v>481652</v>
      </c>
      <c r="R20" s="6">
        <f>+R14+SUM(R17:R19)</f>
        <v>89719</v>
      </c>
      <c r="S20" s="6">
        <f>+S14+SUM(S17:S19)</f>
        <v>18604</v>
      </c>
      <c r="T20" s="6">
        <f>+T14+SUM(T17:T19)</f>
        <v>156054</v>
      </c>
      <c r="U20" s="6">
        <f>+U14+SUM(U17:U19)</f>
        <v>155039</v>
      </c>
      <c r="V20" s="6">
        <f>+V14+SUM(V17:V19)</f>
        <v>419416</v>
      </c>
      <c r="W20" s="6">
        <f>+W14+SUM(W17:W19)</f>
        <v>102292</v>
      </c>
      <c r="X20" s="6">
        <f>+X14+SUM(X17:X19)</f>
        <v>0</v>
      </c>
      <c r="Y20" s="6">
        <f>+Y14+SUM(Y17:Y19)</f>
        <v>0</v>
      </c>
      <c r="Z20" s="6">
        <f>+Z14+SUM(Z17:Z19)</f>
        <v>0</v>
      </c>
      <c r="AA20" s="6">
        <f>+AA14+SUM(AA17:AA19)</f>
        <v>0</v>
      </c>
      <c r="AB20" s="6">
        <f>+AB14+SUM(AB17:AB19)</f>
        <v>0</v>
      </c>
    </row>
    <row r="21" spans="3:28" x14ac:dyDescent="0.2">
      <c r="C21" s="1" t="s">
        <v>4</v>
      </c>
      <c r="E21" s="9">
        <f t="shared" ref="E21:U21" si="6">IFERROR(E20/E$27,0)</f>
        <v>1.3232940491779426</v>
      </c>
      <c r="F21" s="9">
        <f t="shared" si="6"/>
        <v>4.2393379563460556</v>
      </c>
      <c r="G21" s="9">
        <f t="shared" si="6"/>
        <v>4.5268953318998406</v>
      </c>
      <c r="H21" s="9">
        <f t="shared" si="6"/>
        <v>0</v>
      </c>
      <c r="I21" s="9">
        <f t="shared" si="6"/>
        <v>0</v>
      </c>
      <c r="J21" s="9">
        <f t="shared" si="6"/>
        <v>0</v>
      </c>
      <c r="K21" s="9">
        <f t="shared" si="6"/>
        <v>0</v>
      </c>
      <c r="L21" s="9">
        <f t="shared" si="6"/>
        <v>5.597645690038668</v>
      </c>
      <c r="M21" s="9">
        <f t="shared" si="6"/>
        <v>0</v>
      </c>
      <c r="N21" s="9">
        <f t="shared" si="6"/>
        <v>0</v>
      </c>
      <c r="O21" s="9">
        <f t="shared" si="6"/>
        <v>0</v>
      </c>
      <c r="P21" s="9">
        <f t="shared" si="6"/>
        <v>0</v>
      </c>
      <c r="Q21" s="9">
        <f t="shared" si="6"/>
        <v>8.1547473926588108</v>
      </c>
      <c r="R21" s="9">
        <f t="shared" si="6"/>
        <v>1.5221832001493019</v>
      </c>
      <c r="S21" s="9">
        <f t="shared" si="6"/>
        <v>0.31521518129447645</v>
      </c>
      <c r="T21" s="9">
        <f t="shared" si="6"/>
        <v>2.6290749195545597</v>
      </c>
      <c r="U21" s="9">
        <f t="shared" si="6"/>
        <v>2.6123270821749314</v>
      </c>
      <c r="V21" s="9">
        <f t="shared" ref="V21:W21" si="7">IFERROR(V20/V$27,0)</f>
        <v>7.0884415825854754</v>
      </c>
      <c r="W21" s="9">
        <f t="shared" si="7"/>
        <v>1.72504974872677</v>
      </c>
      <c r="X21" s="9">
        <f t="shared" ref="X21:AB21" si="8">IFERROR(X20/X$27,0)</f>
        <v>0</v>
      </c>
      <c r="Y21" s="9">
        <f t="shared" si="8"/>
        <v>0</v>
      </c>
      <c r="Z21" s="9">
        <f t="shared" si="8"/>
        <v>0</v>
      </c>
      <c r="AA21" s="9">
        <f t="shared" si="8"/>
        <v>0</v>
      </c>
      <c r="AB21" s="9">
        <f t="shared" si="8"/>
        <v>0</v>
      </c>
    </row>
    <row r="22" spans="3:28" x14ac:dyDescent="0.2">
      <c r="E22" s="9"/>
      <c r="F22" s="9"/>
      <c r="G22" s="9"/>
      <c r="H22" s="9"/>
      <c r="I22" s="9"/>
      <c r="J22" s="9"/>
      <c r="K22" s="9"/>
      <c r="L22" s="9"/>
      <c r="M22" s="9"/>
      <c r="N22" s="9"/>
      <c r="O22" s="9"/>
      <c r="P22" s="9"/>
      <c r="Q22" s="9"/>
      <c r="R22" s="9"/>
      <c r="S22" s="9"/>
      <c r="T22" s="9"/>
      <c r="U22" s="9"/>
      <c r="V22" s="9"/>
      <c r="W22" s="9"/>
      <c r="X22" s="9"/>
      <c r="Y22" s="9"/>
      <c r="Z22" s="9"/>
      <c r="AA22" s="9"/>
      <c r="AB22" s="9"/>
    </row>
    <row r="23" spans="3:28" x14ac:dyDescent="0.2">
      <c r="C23" s="1" t="s">
        <v>150</v>
      </c>
      <c r="E23" s="60">
        <v>2.4500000000000002</v>
      </c>
      <c r="F23" s="60">
        <v>3.38</v>
      </c>
      <c r="G23" s="60">
        <v>4.45</v>
      </c>
      <c r="H23" s="51"/>
      <c r="I23" s="51"/>
      <c r="J23" s="51"/>
      <c r="K23" s="51"/>
      <c r="L23" s="60">
        <v>5.56</v>
      </c>
      <c r="M23" s="9"/>
      <c r="N23" s="9"/>
      <c r="O23" s="9"/>
      <c r="P23" s="9"/>
      <c r="Q23" s="60">
        <f>+(6.65+6.86)/2</f>
        <v>6.7550000000000008</v>
      </c>
      <c r="R23" s="60">
        <f>+(2.65+2.73)/2</f>
        <v>2.69</v>
      </c>
      <c r="S23" s="60">
        <v>0.73</v>
      </c>
      <c r="T23" s="60">
        <v>1.65</v>
      </c>
      <c r="U23" s="60">
        <f>+(2.02+2.1)/2</f>
        <v>2.06</v>
      </c>
      <c r="V23" s="60">
        <f>+(10.43+10.76)/2</f>
        <v>10.594999999999999</v>
      </c>
      <c r="W23" s="9">
        <f>+(1.66+1.74)/2</f>
        <v>1.7</v>
      </c>
      <c r="X23" s="9">
        <f>+(1.82+1.9)/2</f>
        <v>1.8599999999999999</v>
      </c>
      <c r="Y23" s="9"/>
      <c r="Z23" s="9"/>
      <c r="AA23" s="9">
        <f>+(8.64+8.84)/2</f>
        <v>8.74</v>
      </c>
      <c r="AB23" s="9"/>
    </row>
    <row r="24" spans="3:28" x14ac:dyDescent="0.2">
      <c r="C24" s="1" t="s">
        <v>151</v>
      </c>
      <c r="E24" s="46">
        <f>+E21/E23-1</f>
        <v>-0.4598799799273704</v>
      </c>
      <c r="F24" s="46">
        <f>+F21/F23-1</f>
        <v>0.2542419989189515</v>
      </c>
      <c r="G24" s="46">
        <f>+G21/G23-1</f>
        <v>1.7279849865132757E-2</v>
      </c>
      <c r="H24" s="51"/>
      <c r="I24" s="51"/>
      <c r="J24" s="51"/>
      <c r="K24" s="51"/>
      <c r="L24" s="46">
        <f>+L21/L23-1</f>
        <v>6.7708075609116403E-3</v>
      </c>
      <c r="M24" s="9"/>
      <c r="N24" s="9"/>
      <c r="O24" s="9"/>
      <c r="P24" s="9"/>
      <c r="Q24" s="46">
        <f>+Q21/Q23-1</f>
        <v>0.20721649040100809</v>
      </c>
      <c r="R24" s="46">
        <f>+R21/R23-1</f>
        <v>-0.43413263934970192</v>
      </c>
      <c r="S24" s="46">
        <f>+S21/S23-1</f>
        <v>-0.56819838178838844</v>
      </c>
      <c r="T24" s="46">
        <f>+T21/T23-1</f>
        <v>0.59337873912397576</v>
      </c>
      <c r="U24" s="46">
        <f>+U21/U23-1</f>
        <v>0.26811994280336471</v>
      </c>
      <c r="V24" s="46">
        <f>+V21/V23-1</f>
        <v>-0.33096351273379176</v>
      </c>
      <c r="W24" s="42">
        <f>+W21/W23-1</f>
        <v>1.4735146309864611E-2</v>
      </c>
      <c r="X24" s="9"/>
      <c r="Y24" s="9"/>
      <c r="Z24" s="9"/>
      <c r="AA24" s="9"/>
      <c r="AB24" s="9"/>
    </row>
    <row r="25" spans="3:28" x14ac:dyDescent="0.2">
      <c r="E25" s="9"/>
      <c r="F25" s="9"/>
      <c r="G25" s="9"/>
      <c r="H25" s="9"/>
      <c r="I25" s="9"/>
      <c r="J25" s="9"/>
      <c r="K25" s="9"/>
      <c r="L25" s="9"/>
      <c r="M25" s="9"/>
      <c r="N25" s="9"/>
      <c r="O25" s="9"/>
      <c r="P25" s="9"/>
      <c r="Q25" s="9"/>
      <c r="R25" s="9"/>
      <c r="S25" s="9"/>
      <c r="T25" s="9"/>
      <c r="U25" s="9"/>
      <c r="V25" s="9"/>
      <c r="W25" s="9"/>
      <c r="X25" s="9"/>
      <c r="Y25" s="9"/>
      <c r="Z25" s="9"/>
      <c r="AA25" s="9"/>
      <c r="AB25" s="9"/>
    </row>
    <row r="26" spans="3:28" x14ac:dyDescent="0.2">
      <c r="C26" s="1" t="s">
        <v>5</v>
      </c>
      <c r="E26" s="9"/>
      <c r="F26" s="9">
        <v>0</v>
      </c>
      <c r="G26" s="9">
        <v>0</v>
      </c>
      <c r="H26" s="9"/>
      <c r="I26" s="9"/>
      <c r="J26" s="9"/>
      <c r="K26" s="9"/>
      <c r="L26" s="9">
        <v>0</v>
      </c>
      <c r="M26" s="9"/>
      <c r="N26" s="9"/>
      <c r="O26" s="9"/>
      <c r="P26" s="9"/>
      <c r="Q26" s="9">
        <v>0</v>
      </c>
      <c r="R26" s="9"/>
      <c r="S26" s="31"/>
      <c r="T26" s="13"/>
      <c r="U26" s="13"/>
      <c r="V26" s="13">
        <v>0</v>
      </c>
      <c r="W26" s="9"/>
      <c r="X26" s="31"/>
      <c r="Y26" s="13"/>
      <c r="Z26" s="13"/>
      <c r="AA26" s="9"/>
      <c r="AB26" s="9"/>
    </row>
    <row r="27" spans="3:28" x14ac:dyDescent="0.2">
      <c r="C27" s="1" t="s">
        <v>3</v>
      </c>
      <c r="E27" s="2">
        <v>54984</v>
      </c>
      <c r="F27" s="2">
        <v>56673</v>
      </c>
      <c r="G27" s="2">
        <v>57668</v>
      </c>
      <c r="H27" s="2"/>
      <c r="I27" s="2"/>
      <c r="J27" s="2"/>
      <c r="K27" s="2"/>
      <c r="L27" s="2">
        <v>58446</v>
      </c>
      <c r="M27" s="2"/>
      <c r="N27" s="2"/>
      <c r="O27" s="2"/>
      <c r="P27" s="2"/>
      <c r="Q27" s="2">
        <v>59064</v>
      </c>
      <c r="R27" s="2">
        <v>58941</v>
      </c>
      <c r="S27" s="2">
        <v>59020</v>
      </c>
      <c r="T27" s="2">
        <v>59357</v>
      </c>
      <c r="U27" s="2">
        <v>59349</v>
      </c>
      <c r="V27" s="2">
        <v>59169</v>
      </c>
      <c r="W27" s="2">
        <v>59298</v>
      </c>
      <c r="X27" s="2"/>
      <c r="Y27" s="2"/>
      <c r="Z27" s="2"/>
      <c r="AA27" s="27"/>
      <c r="AB27" s="27"/>
    </row>
    <row r="28" spans="3:28" x14ac:dyDescent="0.2">
      <c r="C28" s="1" t="s">
        <v>195</v>
      </c>
      <c r="E28" s="2"/>
      <c r="F28" s="53">
        <f>IFERROR(+F27/E27-1,"-")</f>
        <v>3.0718027062418107E-2</v>
      </c>
      <c r="G28" s="53">
        <f>IFERROR(+G27/F27-1,"-")</f>
        <v>1.7556861291973203E-2</v>
      </c>
      <c r="H28" s="2"/>
      <c r="I28" s="2"/>
      <c r="J28" s="2"/>
      <c r="K28" s="2"/>
      <c r="L28" s="53">
        <f>IFERROR(+L27/G27-1,"-")</f>
        <v>1.349101754872728E-2</v>
      </c>
      <c r="M28" s="2"/>
      <c r="N28" s="2"/>
      <c r="O28" s="2"/>
      <c r="P28" s="2"/>
      <c r="Q28" s="53">
        <f>IFERROR(+Q27/L27-1,"-")</f>
        <v>1.0573863053074728E-2</v>
      </c>
      <c r="R28" s="39"/>
      <c r="S28" s="39">
        <f>+S27/R27-1</f>
        <v>1.3403233742217413E-3</v>
      </c>
      <c r="T28" s="39">
        <f>+T27/S27-1</f>
        <v>5.7099288376820656E-3</v>
      </c>
      <c r="U28" s="39">
        <f>+U27/T27-1</f>
        <v>-1.3477770102932052E-4</v>
      </c>
      <c r="V28" s="53">
        <f>IFERROR(+V27/Q27-1,"-")</f>
        <v>1.7777326290127071E-3</v>
      </c>
      <c r="W28" s="39">
        <f>+W27/U27-1</f>
        <v>-8.5932366172980501E-4</v>
      </c>
      <c r="X28" s="2"/>
      <c r="Y28" s="30"/>
      <c r="Z28" s="27"/>
      <c r="AA28" s="27"/>
      <c r="AB28" s="27"/>
    </row>
    <row r="29" spans="3:28" x14ac:dyDescent="0.2">
      <c r="C29" s="3"/>
      <c r="D29" s="3"/>
      <c r="E29" s="3"/>
      <c r="F29" s="3"/>
      <c r="G29" s="5"/>
      <c r="H29" s="5"/>
      <c r="I29" s="5"/>
      <c r="J29" s="5"/>
      <c r="K29" s="5"/>
      <c r="L29" s="5"/>
      <c r="M29" s="5"/>
      <c r="N29" s="5"/>
      <c r="O29" s="5"/>
      <c r="P29" s="5"/>
      <c r="Q29" s="5"/>
      <c r="R29" s="5"/>
      <c r="S29" s="5"/>
      <c r="T29" s="5"/>
      <c r="U29" s="5"/>
      <c r="V29" s="5"/>
      <c r="W29" s="5"/>
      <c r="X29" s="5"/>
      <c r="Y29" s="5"/>
      <c r="Z29" s="5"/>
      <c r="AA29" s="5"/>
      <c r="AB29" s="5"/>
    </row>
    <row r="30" spans="3:28" x14ac:dyDescent="0.2">
      <c r="C30" s="22" t="s">
        <v>124</v>
      </c>
      <c r="D30" s="35"/>
      <c r="E30" s="35">
        <v>2017</v>
      </c>
      <c r="F30" s="35">
        <v>2018</v>
      </c>
      <c r="G30" s="35">
        <v>2019</v>
      </c>
      <c r="H30" s="12" t="s">
        <v>23</v>
      </c>
      <c r="I30" s="12" t="s">
        <v>24</v>
      </c>
      <c r="J30" s="12" t="s">
        <v>25</v>
      </c>
      <c r="K30" s="12" t="s">
        <v>27</v>
      </c>
      <c r="L30" s="35">
        <v>2020</v>
      </c>
      <c r="M30" s="12" t="s">
        <v>21</v>
      </c>
      <c r="N30" s="12" t="s">
        <v>22</v>
      </c>
      <c r="O30" s="12" t="s">
        <v>28</v>
      </c>
      <c r="P30" s="12" t="s">
        <v>26</v>
      </c>
      <c r="Q30" s="35">
        <v>2021</v>
      </c>
      <c r="R30" s="12" t="s">
        <v>30</v>
      </c>
      <c r="S30" s="12" t="s">
        <v>31</v>
      </c>
      <c r="T30" s="12" t="s">
        <v>32</v>
      </c>
      <c r="U30" s="12" t="s">
        <v>33</v>
      </c>
      <c r="V30" s="35">
        <v>2022</v>
      </c>
      <c r="W30" s="12" t="s">
        <v>34</v>
      </c>
      <c r="X30" s="12" t="s">
        <v>35</v>
      </c>
      <c r="Y30" s="12" t="s">
        <v>36</v>
      </c>
      <c r="Z30" s="12" t="s">
        <v>37</v>
      </c>
      <c r="AA30" s="35">
        <f>+V30+1</f>
        <v>2023</v>
      </c>
      <c r="AB30" s="35">
        <f>+AA30+1</f>
        <v>2024</v>
      </c>
    </row>
    <row r="31" spans="3:28" x14ac:dyDescent="0.2">
      <c r="C31" s="3" t="s">
        <v>125</v>
      </c>
      <c r="D31" s="3"/>
      <c r="E31" s="5">
        <f>+E5</f>
        <v>-921352</v>
      </c>
      <c r="F31" s="5">
        <f>+F5</f>
        <v>-1186921</v>
      </c>
      <c r="G31" s="5">
        <f>+G5</f>
        <v>-1488198</v>
      </c>
      <c r="H31" s="5">
        <f>+H5</f>
        <v>0</v>
      </c>
      <c r="I31" s="5">
        <f>+I5</f>
        <v>0</v>
      </c>
      <c r="J31" s="5">
        <f>+J5</f>
        <v>0</v>
      </c>
      <c r="K31" s="5">
        <f>+K5</f>
        <v>0</v>
      </c>
      <c r="L31" s="5">
        <f>+L5</f>
        <v>-1732522</v>
      </c>
      <c r="M31" s="5">
        <f>+M5</f>
        <v>0</v>
      </c>
      <c r="N31" s="5">
        <f>+N5</f>
        <v>0</v>
      </c>
      <c r="O31" s="5">
        <f>+O5</f>
        <v>0</v>
      </c>
      <c r="P31" s="5">
        <f>+P5</f>
        <v>0</v>
      </c>
      <c r="Q31" s="5">
        <f>+Q5</f>
        <v>-2483697</v>
      </c>
      <c r="R31" s="5">
        <f>+R5</f>
        <v>-780836</v>
      </c>
      <c r="S31" s="5">
        <f>+S5</f>
        <v>-846323</v>
      </c>
      <c r="T31" s="5">
        <f>+T5</f>
        <v>-826796</v>
      </c>
      <c r="U31" s="5">
        <f>+U5</f>
        <v>-832728</v>
      </c>
      <c r="V31" s="5">
        <f>+V5</f>
        <v>-3286683</v>
      </c>
      <c r="W31" s="5">
        <f>+W5</f>
        <v>-855901</v>
      </c>
      <c r="X31" s="5"/>
      <c r="Y31" s="5"/>
      <c r="Z31" s="5"/>
      <c r="AA31" s="5"/>
      <c r="AB31" s="5"/>
    </row>
    <row r="32" spans="3:28" x14ac:dyDescent="0.2">
      <c r="C32" s="1" t="s">
        <v>126</v>
      </c>
      <c r="D32" s="3"/>
      <c r="E32" s="55">
        <v>6416</v>
      </c>
      <c r="F32" s="55">
        <v>4410</v>
      </c>
      <c r="G32" s="55">
        <v>37580</v>
      </c>
      <c r="H32" s="37"/>
      <c r="I32" s="37"/>
      <c r="J32" s="37"/>
      <c r="K32" s="37"/>
      <c r="L32" s="55">
        <v>32785</v>
      </c>
      <c r="M32" s="2"/>
      <c r="N32" s="2"/>
      <c r="O32" s="2"/>
      <c r="P32" s="2"/>
      <c r="Q32" s="55">
        <v>60075</v>
      </c>
      <c r="R32" s="55">
        <v>-424</v>
      </c>
      <c r="S32" s="55">
        <v>14732</v>
      </c>
      <c r="T32" s="55">
        <v>17474</v>
      </c>
      <c r="U32" s="55">
        <v>15688</v>
      </c>
      <c r="V32" s="55">
        <v>47470</v>
      </c>
      <c r="W32" s="2">
        <v>16011</v>
      </c>
      <c r="X32" s="2"/>
      <c r="Y32" s="2"/>
      <c r="Z32" s="2"/>
      <c r="AA32" s="2"/>
      <c r="AB32" s="2"/>
    </row>
    <row r="33" spans="3:28" x14ac:dyDescent="0.2">
      <c r="C33" s="1" t="s">
        <v>127</v>
      </c>
      <c r="D33" s="3"/>
      <c r="E33" s="55">
        <v>0</v>
      </c>
      <c r="F33" s="55">
        <v>0</v>
      </c>
      <c r="G33" s="55">
        <v>0</v>
      </c>
      <c r="H33" s="37"/>
      <c r="I33" s="37"/>
      <c r="J33" s="37"/>
      <c r="K33" s="37"/>
      <c r="L33" s="55">
        <v>0</v>
      </c>
      <c r="M33" s="2"/>
      <c r="N33" s="2"/>
      <c r="O33" s="2"/>
      <c r="P33" s="2"/>
      <c r="Q33" s="55">
        <v>0</v>
      </c>
      <c r="R33" s="55">
        <v>19156</v>
      </c>
      <c r="S33" s="55">
        <v>3279</v>
      </c>
      <c r="T33" s="55">
        <v>2853</v>
      </c>
      <c r="U33" s="55">
        <v>3688</v>
      </c>
      <c r="V33" s="55">
        <v>28976</v>
      </c>
      <c r="W33" s="2">
        <v>2440</v>
      </c>
      <c r="X33" s="2"/>
      <c r="Y33" s="2"/>
      <c r="Z33" s="2"/>
      <c r="AA33" s="2"/>
      <c r="AB33" s="2"/>
    </row>
    <row r="34" spans="3:28" x14ac:dyDescent="0.2">
      <c r="C34" s="1" t="s">
        <v>128</v>
      </c>
      <c r="D34" s="3"/>
      <c r="E34" s="55">
        <v>0</v>
      </c>
      <c r="F34" s="55">
        <v>0</v>
      </c>
      <c r="G34" s="55">
        <v>0</v>
      </c>
      <c r="H34" s="37"/>
      <c r="I34" s="37"/>
      <c r="J34" s="37"/>
      <c r="K34" s="37"/>
      <c r="L34" s="55">
        <v>0</v>
      </c>
      <c r="M34" s="2"/>
      <c r="N34" s="2"/>
      <c r="O34" s="2"/>
      <c r="P34" s="2"/>
      <c r="Q34" s="55">
        <v>0</v>
      </c>
      <c r="R34" s="55">
        <v>2570</v>
      </c>
      <c r="S34" s="55">
        <v>9261</v>
      </c>
      <c r="T34" s="55">
        <v>1031</v>
      </c>
      <c r="U34" s="55">
        <v>1850</v>
      </c>
      <c r="V34" s="55">
        <v>14712</v>
      </c>
      <c r="W34" s="2">
        <v>7370</v>
      </c>
      <c r="X34" s="2"/>
      <c r="Y34" s="2"/>
      <c r="Z34" s="2"/>
      <c r="AA34" s="2"/>
      <c r="AB34" s="2"/>
    </row>
    <row r="35" spans="3:28" x14ac:dyDescent="0.2">
      <c r="C35" s="1" t="s">
        <v>129</v>
      </c>
      <c r="D35" s="3"/>
      <c r="E35" s="55">
        <v>0</v>
      </c>
      <c r="F35" s="55">
        <v>0</v>
      </c>
      <c r="G35" s="55">
        <v>0</v>
      </c>
      <c r="H35" s="37"/>
      <c r="I35" s="37"/>
      <c r="J35" s="37"/>
      <c r="K35" s="37"/>
      <c r="L35" s="55">
        <v>0</v>
      </c>
      <c r="M35" s="2"/>
      <c r="N35" s="2"/>
      <c r="O35" s="2"/>
      <c r="P35" s="2"/>
      <c r="Q35" s="55">
        <v>0</v>
      </c>
      <c r="R35" s="55">
        <v>-21356</v>
      </c>
      <c r="S35" s="55">
        <v>0</v>
      </c>
      <c r="T35" s="55">
        <v>0</v>
      </c>
      <c r="U35" s="55">
        <v>0</v>
      </c>
      <c r="V35" s="55">
        <v>-21356</v>
      </c>
      <c r="W35" s="2">
        <v>0</v>
      </c>
      <c r="X35" s="2"/>
      <c r="Y35" s="2"/>
      <c r="Z35" s="2"/>
      <c r="AA35" s="2"/>
      <c r="AB35" s="2"/>
    </row>
    <row r="36" spans="3:28" x14ac:dyDescent="0.2">
      <c r="C36" s="4" t="s">
        <v>130</v>
      </c>
      <c r="D36" s="4"/>
      <c r="E36" s="6">
        <f t="shared" ref="E36:V36" si="9">+SUM(E31:E35)</f>
        <v>-914936</v>
      </c>
      <c r="F36" s="6">
        <f t="shared" si="9"/>
        <v>-1182511</v>
      </c>
      <c r="G36" s="6">
        <f t="shared" si="9"/>
        <v>-1450618</v>
      </c>
      <c r="H36" s="6">
        <f t="shared" si="9"/>
        <v>0</v>
      </c>
      <c r="I36" s="6">
        <f t="shared" si="9"/>
        <v>0</v>
      </c>
      <c r="J36" s="6">
        <f t="shared" si="9"/>
        <v>0</v>
      </c>
      <c r="K36" s="6">
        <f t="shared" si="9"/>
        <v>0</v>
      </c>
      <c r="L36" s="6">
        <f t="shared" si="9"/>
        <v>-1699737</v>
      </c>
      <c r="M36" s="6">
        <f t="shared" si="9"/>
        <v>0</v>
      </c>
      <c r="N36" s="6">
        <f t="shared" si="9"/>
        <v>0</v>
      </c>
      <c r="O36" s="6">
        <f t="shared" si="9"/>
        <v>0</v>
      </c>
      <c r="P36" s="6">
        <f t="shared" si="9"/>
        <v>0</v>
      </c>
      <c r="Q36" s="6">
        <f t="shared" si="9"/>
        <v>-2423622</v>
      </c>
      <c r="R36" s="6">
        <f t="shared" si="9"/>
        <v>-780890</v>
      </c>
      <c r="S36" s="6">
        <f t="shared" si="9"/>
        <v>-819051</v>
      </c>
      <c r="T36" s="6">
        <f t="shared" si="9"/>
        <v>-805438</v>
      </c>
      <c r="U36" s="6">
        <f t="shared" si="9"/>
        <v>-811502</v>
      </c>
      <c r="V36" s="56">
        <f t="shared" si="9"/>
        <v>-3216881</v>
      </c>
      <c r="W36" s="6">
        <f>+SUM(W31:W35)</f>
        <v>-830080</v>
      </c>
      <c r="X36" s="6"/>
      <c r="Y36" s="6"/>
      <c r="Z36" s="6"/>
      <c r="AA36" s="6"/>
      <c r="AB36" s="6"/>
    </row>
    <row r="37" spans="3:28" x14ac:dyDescent="0.2">
      <c r="C37" s="3"/>
      <c r="D37" s="3"/>
      <c r="E37" s="3"/>
      <c r="F37" s="3"/>
      <c r="G37" s="5"/>
      <c r="H37" s="5"/>
      <c r="I37" s="5"/>
      <c r="J37" s="5"/>
      <c r="K37" s="5"/>
      <c r="L37" s="5"/>
      <c r="M37" s="5"/>
      <c r="N37" s="5"/>
      <c r="O37" s="5"/>
      <c r="P37" s="5"/>
      <c r="Q37" s="5"/>
      <c r="R37" s="5"/>
      <c r="S37" s="5"/>
      <c r="T37" s="5"/>
      <c r="U37" s="5"/>
      <c r="V37" s="57"/>
      <c r="W37" s="5"/>
      <c r="X37" s="5"/>
      <c r="Y37" s="5"/>
      <c r="Z37" s="5"/>
      <c r="AA37" s="5"/>
      <c r="AB37" s="5"/>
    </row>
    <row r="38" spans="3:28" x14ac:dyDescent="0.2">
      <c r="C38" s="3" t="s">
        <v>131</v>
      </c>
      <c r="D38" s="3"/>
      <c r="E38" s="5">
        <f>+E9</f>
        <v>-327588</v>
      </c>
      <c r="F38" s="5">
        <f>+F9</f>
        <v>-373587</v>
      </c>
      <c r="G38" s="5">
        <f>+G9</f>
        <v>-457433</v>
      </c>
      <c r="H38" s="5">
        <f>+H9</f>
        <v>0</v>
      </c>
      <c r="I38" s="5">
        <f>+I9</f>
        <v>0</v>
      </c>
      <c r="J38" s="5">
        <f>+J9</f>
        <v>0</v>
      </c>
      <c r="K38" s="5">
        <f>+K9</f>
        <v>0</v>
      </c>
      <c r="L38" s="5">
        <f>+L9</f>
        <v>-484758</v>
      </c>
      <c r="M38" s="5">
        <f>+M9</f>
        <v>0</v>
      </c>
      <c r="N38" s="5">
        <f>+N9</f>
        <v>0</v>
      </c>
      <c r="O38" s="5">
        <f>+O9</f>
        <v>0</v>
      </c>
      <c r="P38" s="5">
        <f>+P9</f>
        <v>0</v>
      </c>
      <c r="Q38" s="5">
        <f>+Q9</f>
        <v>-648736</v>
      </c>
      <c r="R38" s="5">
        <f>+R9</f>
        <v>-237277</v>
      </c>
      <c r="S38" s="5">
        <f>+S9</f>
        <v>-232527</v>
      </c>
      <c r="T38" s="5">
        <f>+T9</f>
        <v>-198021</v>
      </c>
      <c r="U38" s="5">
        <f>+U9</f>
        <v>-204952</v>
      </c>
      <c r="V38" s="57">
        <f>+V9</f>
        <v>-872777</v>
      </c>
      <c r="W38" s="5">
        <f>+W9</f>
        <v>-211887</v>
      </c>
      <c r="X38" s="5"/>
      <c r="Y38" s="5"/>
      <c r="Z38" s="5"/>
      <c r="AA38" s="5"/>
      <c r="AB38" s="5"/>
    </row>
    <row r="39" spans="3:28" x14ac:dyDescent="0.2">
      <c r="C39" s="1" t="s">
        <v>126</v>
      </c>
      <c r="E39" s="55">
        <v>6071</v>
      </c>
      <c r="F39" s="55">
        <v>8042</v>
      </c>
      <c r="G39" s="55">
        <v>34456</v>
      </c>
      <c r="H39" s="37"/>
      <c r="I39" s="37"/>
      <c r="J39" s="37"/>
      <c r="K39" s="37"/>
      <c r="L39" s="55">
        <v>42453</v>
      </c>
      <c r="M39" s="2"/>
      <c r="N39" s="2"/>
      <c r="O39" s="2"/>
      <c r="P39" s="2"/>
      <c r="Q39" s="55">
        <v>60075</v>
      </c>
      <c r="R39" s="55">
        <v>7536</v>
      </c>
      <c r="S39" s="55">
        <v>13161</v>
      </c>
      <c r="T39" s="55">
        <v>15813</v>
      </c>
      <c r="U39" s="55">
        <v>15929</v>
      </c>
      <c r="V39" s="55">
        <v>52439</v>
      </c>
      <c r="W39" s="2">
        <v>22568</v>
      </c>
      <c r="X39" s="2"/>
      <c r="Y39" s="2"/>
      <c r="Z39" s="2"/>
      <c r="AA39" s="2"/>
      <c r="AB39" s="2"/>
    </row>
    <row r="40" spans="3:28" x14ac:dyDescent="0.2">
      <c r="C40" s="1" t="s">
        <v>132</v>
      </c>
      <c r="E40" s="55">
        <v>570</v>
      </c>
      <c r="F40" s="55">
        <v>209</v>
      </c>
      <c r="G40" s="55">
        <v>3774</v>
      </c>
      <c r="H40" s="37"/>
      <c r="I40" s="37"/>
      <c r="J40" s="37"/>
      <c r="K40" s="37"/>
      <c r="L40" s="55">
        <v>1868</v>
      </c>
      <c r="M40" s="2"/>
      <c r="N40" s="2"/>
      <c r="O40" s="2"/>
      <c r="P40" s="2"/>
      <c r="Q40" s="55">
        <v>6397</v>
      </c>
      <c r="R40" s="55">
        <v>579</v>
      </c>
      <c r="S40" s="55">
        <v>91</v>
      </c>
      <c r="T40" s="55">
        <v>264</v>
      </c>
      <c r="U40" s="55">
        <v>603</v>
      </c>
      <c r="V40" s="55">
        <v>1537</v>
      </c>
      <c r="W40" s="2">
        <v>241</v>
      </c>
      <c r="X40" s="2"/>
      <c r="Y40" s="2"/>
      <c r="Z40" s="2"/>
      <c r="AA40" s="2"/>
      <c r="AB40" s="2"/>
    </row>
    <row r="41" spans="3:28" x14ac:dyDescent="0.2">
      <c r="C41" s="1" t="s">
        <v>133</v>
      </c>
      <c r="E41" s="55">
        <v>-16</v>
      </c>
      <c r="F41" s="55">
        <v>-170</v>
      </c>
      <c r="G41" s="55">
        <v>576</v>
      </c>
      <c r="H41" s="37"/>
      <c r="I41" s="37"/>
      <c r="J41" s="37"/>
      <c r="K41" s="37"/>
      <c r="L41" s="55">
        <v>3922</v>
      </c>
      <c r="M41" s="2"/>
      <c r="N41" s="2"/>
      <c r="O41" s="2"/>
      <c r="P41" s="2"/>
      <c r="Q41" s="55">
        <v>179</v>
      </c>
      <c r="R41" s="55">
        <v>1363</v>
      </c>
      <c r="S41" s="55">
        <v>2513</v>
      </c>
      <c r="T41" s="55">
        <v>2360</v>
      </c>
      <c r="U41" s="55">
        <v>1723</v>
      </c>
      <c r="V41" s="55">
        <v>7959</v>
      </c>
      <c r="W41" s="2">
        <v>-99</v>
      </c>
      <c r="X41" s="2"/>
      <c r="Y41" s="2"/>
      <c r="Z41" s="2"/>
      <c r="AA41" s="2"/>
      <c r="AB41" s="2"/>
    </row>
    <row r="42" spans="3:28" x14ac:dyDescent="0.2">
      <c r="C42" s="1" t="s">
        <v>134</v>
      </c>
      <c r="E42" s="55">
        <v>0</v>
      </c>
      <c r="F42" s="55">
        <v>0</v>
      </c>
      <c r="G42" s="55">
        <v>0</v>
      </c>
      <c r="H42" s="37"/>
      <c r="I42" s="37"/>
      <c r="J42" s="37"/>
      <c r="K42" s="37"/>
      <c r="L42" s="55">
        <v>0</v>
      </c>
      <c r="M42" s="2"/>
      <c r="N42" s="2"/>
      <c r="O42" s="2"/>
      <c r="P42" s="2"/>
      <c r="Q42" s="55">
        <v>0</v>
      </c>
      <c r="R42" s="55">
        <v>6500</v>
      </c>
      <c r="S42" s="55">
        <v>5088</v>
      </c>
      <c r="T42" s="55">
        <v>1631</v>
      </c>
      <c r="U42" s="55">
        <v>2614</v>
      </c>
      <c r="V42" s="55">
        <v>15833</v>
      </c>
      <c r="W42" s="2">
        <v>3617</v>
      </c>
      <c r="X42" s="2"/>
      <c r="Y42" s="2"/>
      <c r="Z42" s="2"/>
      <c r="AA42" s="2"/>
      <c r="AB42" s="2"/>
    </row>
    <row r="43" spans="3:28" x14ac:dyDescent="0.2">
      <c r="C43" s="1" t="s">
        <v>135</v>
      </c>
      <c r="E43" s="55">
        <v>0</v>
      </c>
      <c r="F43" s="55">
        <v>0</v>
      </c>
      <c r="G43" s="55">
        <v>0</v>
      </c>
      <c r="H43" s="37"/>
      <c r="I43" s="37"/>
      <c r="J43" s="37"/>
      <c r="K43" s="37"/>
      <c r="L43" s="55">
        <v>0</v>
      </c>
      <c r="M43" s="2"/>
      <c r="N43" s="2"/>
      <c r="O43" s="2"/>
      <c r="P43" s="2"/>
      <c r="Q43" s="55">
        <v>0</v>
      </c>
      <c r="R43" s="55">
        <v>18706</v>
      </c>
      <c r="S43" s="55">
        <v>14366</v>
      </c>
      <c r="T43" s="55">
        <v>4425</v>
      </c>
      <c r="U43" s="55">
        <v>1245</v>
      </c>
      <c r="V43" s="55">
        <v>38742</v>
      </c>
      <c r="W43" s="2">
        <v>212</v>
      </c>
      <c r="X43" s="2"/>
      <c r="Y43" s="2"/>
      <c r="Z43" s="2"/>
      <c r="AA43" s="2"/>
      <c r="AB43" s="2"/>
    </row>
    <row r="44" spans="3:28" x14ac:dyDescent="0.2">
      <c r="C44" s="1" t="s">
        <v>136</v>
      </c>
      <c r="E44" s="55">
        <v>0</v>
      </c>
      <c r="F44" s="55">
        <v>0</v>
      </c>
      <c r="G44" s="55">
        <v>0</v>
      </c>
      <c r="H44" s="37"/>
      <c r="I44" s="37"/>
      <c r="J44" s="37"/>
      <c r="K44" s="37"/>
      <c r="L44" s="55">
        <v>0</v>
      </c>
      <c r="M44" s="2"/>
      <c r="N44" s="2"/>
      <c r="O44" s="2"/>
      <c r="P44" s="2"/>
      <c r="Q44" s="55">
        <v>0</v>
      </c>
      <c r="R44" s="55">
        <v>19570</v>
      </c>
      <c r="S44" s="55">
        <v>0</v>
      </c>
      <c r="T44" s="55">
        <v>0</v>
      </c>
      <c r="U44" s="55">
        <v>0</v>
      </c>
      <c r="V44" s="55">
        <v>19570</v>
      </c>
      <c r="W44" s="2">
        <v>0</v>
      </c>
      <c r="X44" s="2"/>
      <c r="Y44" s="2"/>
      <c r="Z44" s="2"/>
      <c r="AA44" s="2"/>
      <c r="AB44" s="2"/>
    </row>
    <row r="45" spans="3:28" x14ac:dyDescent="0.2">
      <c r="C45" s="1" t="s">
        <v>153</v>
      </c>
      <c r="E45" s="55">
        <v>0</v>
      </c>
      <c r="F45" s="55">
        <v>0</v>
      </c>
      <c r="G45" s="55">
        <v>0</v>
      </c>
      <c r="H45" s="37"/>
      <c r="I45" s="37"/>
      <c r="J45" s="37"/>
      <c r="K45" s="37"/>
      <c r="L45" s="55">
        <v>0</v>
      </c>
      <c r="M45" s="2"/>
      <c r="N45" s="2"/>
      <c r="O45" s="2"/>
      <c r="P45" s="2"/>
      <c r="Q45" s="55">
        <v>0</v>
      </c>
      <c r="R45" s="55">
        <v>0</v>
      </c>
      <c r="S45" s="55">
        <v>16220</v>
      </c>
      <c r="T45" s="55">
        <v>728</v>
      </c>
      <c r="U45" s="55">
        <v>186</v>
      </c>
      <c r="V45" s="55">
        <v>17134</v>
      </c>
      <c r="W45" s="2"/>
      <c r="X45" s="2"/>
      <c r="Y45" s="2"/>
      <c r="Z45" s="2"/>
      <c r="AA45" s="2"/>
      <c r="AB45" s="2"/>
    </row>
    <row r="46" spans="3:28" x14ac:dyDescent="0.2">
      <c r="C46" s="4" t="s">
        <v>137</v>
      </c>
      <c r="D46" s="4"/>
      <c r="E46" s="6">
        <f t="shared" ref="E46:T46" si="10">+SUM(E38:E45)</f>
        <v>-320963</v>
      </c>
      <c r="F46" s="6">
        <f t="shared" si="10"/>
        <v>-365506</v>
      </c>
      <c r="G46" s="6">
        <f t="shared" si="10"/>
        <v>-418627</v>
      </c>
      <c r="H46" s="6">
        <f t="shared" si="10"/>
        <v>0</v>
      </c>
      <c r="I46" s="6">
        <f t="shared" si="10"/>
        <v>0</v>
      </c>
      <c r="J46" s="6">
        <f t="shared" si="10"/>
        <v>0</v>
      </c>
      <c r="K46" s="6">
        <f t="shared" si="10"/>
        <v>0</v>
      </c>
      <c r="L46" s="6">
        <f t="shared" si="10"/>
        <v>-436515</v>
      </c>
      <c r="M46" s="6">
        <f t="shared" si="10"/>
        <v>0</v>
      </c>
      <c r="N46" s="6">
        <f t="shared" si="10"/>
        <v>0</v>
      </c>
      <c r="O46" s="6">
        <f t="shared" si="10"/>
        <v>0</v>
      </c>
      <c r="P46" s="6">
        <f t="shared" si="10"/>
        <v>0</v>
      </c>
      <c r="Q46" s="6">
        <f t="shared" si="10"/>
        <v>-582085</v>
      </c>
      <c r="R46" s="6">
        <f t="shared" si="10"/>
        <v>-183023</v>
      </c>
      <c r="S46" s="6">
        <f t="shared" si="10"/>
        <v>-181088</v>
      </c>
      <c r="T46" s="6">
        <f t="shared" si="10"/>
        <v>-172800</v>
      </c>
      <c r="U46" s="6">
        <f>+SUM(U38:U45)</f>
        <v>-182652</v>
      </c>
      <c r="V46" s="6">
        <f t="shared" ref="V46:W46" si="11">+SUM(V38:V45)</f>
        <v>-719563</v>
      </c>
      <c r="W46" s="6">
        <f t="shared" si="11"/>
        <v>-185348</v>
      </c>
      <c r="X46" s="6"/>
      <c r="Y46" s="6"/>
      <c r="Z46" s="6"/>
      <c r="AA46" s="6"/>
      <c r="AB46" s="6"/>
    </row>
    <row r="47" spans="3:28" x14ac:dyDescent="0.2">
      <c r="D47" s="3"/>
      <c r="E47" s="3"/>
      <c r="F47" s="3"/>
      <c r="G47" s="5"/>
      <c r="H47" s="5"/>
      <c r="I47" s="5"/>
      <c r="J47" s="5"/>
      <c r="K47" s="5"/>
      <c r="L47" s="5"/>
      <c r="M47" s="5"/>
      <c r="N47" s="5"/>
      <c r="O47" s="5"/>
      <c r="P47" s="5"/>
      <c r="Q47" s="5"/>
      <c r="R47" s="5"/>
      <c r="S47" s="5"/>
      <c r="T47" s="5"/>
      <c r="U47" s="5"/>
      <c r="V47" s="5"/>
      <c r="W47" s="5"/>
      <c r="X47" s="5"/>
      <c r="Y47" s="5"/>
      <c r="Z47" s="5"/>
      <c r="AA47" s="5"/>
      <c r="AB47" s="5"/>
    </row>
    <row r="48" spans="3:28" x14ac:dyDescent="0.2">
      <c r="C48" s="48" t="s">
        <v>98</v>
      </c>
      <c r="D48" s="48"/>
      <c r="E48" s="49">
        <f>+E4+E36+E46</f>
        <v>214549</v>
      </c>
      <c r="F48" s="49">
        <f>+F4+F36+F46</f>
        <v>294895</v>
      </c>
      <c r="G48" s="49">
        <f>+G4+G36+G46</f>
        <v>424553</v>
      </c>
      <c r="H48" s="49">
        <f>+H4+H36+H46</f>
        <v>0</v>
      </c>
      <c r="I48" s="49">
        <f>+I4+I36+I46</f>
        <v>0</v>
      </c>
      <c r="J48" s="49">
        <f>+J4+J36+J46</f>
        <v>0</v>
      </c>
      <c r="K48" s="49">
        <f>+K4+K36+K46</f>
        <v>0</v>
      </c>
      <c r="L48" s="49">
        <f>+L4+L36+L46</f>
        <v>523226</v>
      </c>
      <c r="M48" s="49">
        <f>+M4+M36+M46</f>
        <v>0</v>
      </c>
      <c r="N48" s="49">
        <f>+N4+N36+N46</f>
        <v>0</v>
      </c>
      <c r="O48" s="49">
        <f>+O4+O36+O46</f>
        <v>0</v>
      </c>
      <c r="P48" s="49">
        <f>+P4+P36+P46</f>
        <v>0</v>
      </c>
      <c r="Q48" s="49">
        <f>+Q4+Q36+Q46</f>
        <v>752437</v>
      </c>
      <c r="R48" s="49">
        <f>+R4+R36+R46</f>
        <v>207701</v>
      </c>
      <c r="S48" s="49">
        <f>+S4+S36+S46</f>
        <v>194722</v>
      </c>
      <c r="T48" s="49">
        <f>+T4+T36+T46</f>
        <v>248682</v>
      </c>
      <c r="U48" s="49">
        <f>+U4+U36+U46</f>
        <v>237149</v>
      </c>
      <c r="V48" s="49">
        <f>+V4+V36+V46</f>
        <v>888254</v>
      </c>
      <c r="W48" s="49">
        <f>+W4+W36+W46</f>
        <v>195513</v>
      </c>
      <c r="X48" s="49"/>
      <c r="Y48" s="49"/>
      <c r="Z48" s="49"/>
      <c r="AA48" s="49"/>
      <c r="AB48" s="49"/>
    </row>
    <row r="49" spans="3:28" x14ac:dyDescent="0.2">
      <c r="C49" s="1" t="s">
        <v>67</v>
      </c>
      <c r="D49" s="3"/>
      <c r="E49" s="42">
        <f>IFERROR(+E48/E4,"-")</f>
        <v>0.14791912567703219</v>
      </c>
      <c r="F49" s="42">
        <f>IFERROR(+F48/F4,"-")</f>
        <v>0.16001577937524961</v>
      </c>
      <c r="G49" s="42">
        <f>IFERROR(+G48/G4,"-")</f>
        <v>0.18508735294040712</v>
      </c>
      <c r="H49" s="42" t="str">
        <f>IFERROR(+H48/H4,"-")</f>
        <v>-</v>
      </c>
      <c r="I49" s="42" t="str">
        <f>IFERROR(+I48/I4,"-")</f>
        <v>-</v>
      </c>
      <c r="J49" s="42" t="str">
        <f>IFERROR(+J48/J4,"-")</f>
        <v>-</v>
      </c>
      <c r="K49" s="42" t="str">
        <f>IFERROR(+K48/K4,"-")</f>
        <v>-</v>
      </c>
      <c r="L49" s="42">
        <f>IFERROR(+L48/L4,"-")</f>
        <v>0.19674011215734818</v>
      </c>
      <c r="M49" s="42" t="str">
        <f>IFERROR(+M48/M4,"-")</f>
        <v>-</v>
      </c>
      <c r="N49" s="42" t="str">
        <f>IFERROR(+N48/N4,"-")</f>
        <v>-</v>
      </c>
      <c r="O49" s="42" t="str">
        <f>IFERROR(+O48/O4,"-")</f>
        <v>-</v>
      </c>
      <c r="P49" s="42" t="str">
        <f>IFERROR(+P48/P4,"-")</f>
        <v>-</v>
      </c>
      <c r="Q49" s="42">
        <f>IFERROR(+Q48/Q4,"-")</f>
        <v>0.20021505296231332</v>
      </c>
      <c r="R49" s="42">
        <f>IFERROR(+R48/R4,"-")</f>
        <v>0.17727766994931779</v>
      </c>
      <c r="S49" s="42">
        <f>IFERROR(+S48/S4,"-")</f>
        <v>0.16296623624003126</v>
      </c>
      <c r="T49" s="42">
        <f>IFERROR(+T48/T4,"-")</f>
        <v>0.20268803181951553</v>
      </c>
      <c r="U49" s="42">
        <f>IFERROR(+U48/U4,"-")</f>
        <v>0.19260003427263639</v>
      </c>
      <c r="V49" s="42">
        <f>IFERROR(+V48/V4,"-")</f>
        <v>0.18410561655879809</v>
      </c>
      <c r="W49" s="42">
        <f>IFERROR(+W48/W4,"-")</f>
        <v>0.16145543011591812</v>
      </c>
      <c r="X49" s="5"/>
      <c r="Y49" s="5"/>
      <c r="Z49" s="5"/>
      <c r="AA49" s="5"/>
      <c r="AB49" s="5"/>
    </row>
    <row r="50" spans="3:28" x14ac:dyDescent="0.2">
      <c r="D50" s="3"/>
      <c r="E50" s="3"/>
      <c r="F50" s="3"/>
      <c r="G50" s="5"/>
      <c r="H50" s="5"/>
      <c r="I50" s="5"/>
      <c r="J50" s="5"/>
      <c r="K50" s="5"/>
      <c r="L50" s="5"/>
      <c r="M50" s="5"/>
      <c r="N50" s="5"/>
      <c r="O50" s="5"/>
      <c r="P50" s="5"/>
      <c r="Q50" s="5"/>
      <c r="R50" s="5"/>
      <c r="S50" s="5"/>
      <c r="T50" s="5"/>
      <c r="U50" s="5"/>
      <c r="V50" s="5"/>
      <c r="W50" s="5"/>
      <c r="X50" s="5"/>
      <c r="Y50" s="5"/>
      <c r="Z50" s="5"/>
      <c r="AA50" s="5"/>
      <c r="AB50" s="5"/>
    </row>
    <row r="51" spans="3:28" x14ac:dyDescent="0.2">
      <c r="C51" s="1" t="s">
        <v>138</v>
      </c>
      <c r="D51" s="3"/>
      <c r="E51" s="55">
        <v>1856</v>
      </c>
      <c r="F51" s="55">
        <v>2301</v>
      </c>
      <c r="G51" s="55">
        <v>9914</v>
      </c>
      <c r="H51" s="37"/>
      <c r="I51" s="37"/>
      <c r="J51" s="37"/>
      <c r="K51" s="37"/>
      <c r="L51" s="55">
        <v>12340</v>
      </c>
      <c r="M51" s="2"/>
      <c r="N51" s="2"/>
      <c r="O51" s="2"/>
      <c r="P51" s="2"/>
      <c r="Q51" s="55">
        <v>17646</v>
      </c>
      <c r="R51" s="55">
        <v>5244</v>
      </c>
      <c r="S51" s="55">
        <v>5756</v>
      </c>
      <c r="T51" s="55">
        <v>5584</v>
      </c>
      <c r="U51" s="55">
        <v>5639</v>
      </c>
      <c r="V51" s="55">
        <v>22223</v>
      </c>
      <c r="W51" s="2">
        <v>5537</v>
      </c>
      <c r="X51" s="5"/>
      <c r="Y51" s="5"/>
      <c r="Z51" s="5"/>
      <c r="AA51" s="5"/>
      <c r="AB51" s="5"/>
    </row>
    <row r="52" spans="3:28" x14ac:dyDescent="0.2">
      <c r="C52" s="48" t="s">
        <v>139</v>
      </c>
      <c r="D52" s="48"/>
      <c r="E52" s="49">
        <f>+E48+E13+E51</f>
        <v>187843</v>
      </c>
      <c r="F52" s="49">
        <f>+F48+F13+F51</f>
        <v>260556</v>
      </c>
      <c r="G52" s="49">
        <f>+G48+G13+G51</f>
        <v>389150</v>
      </c>
      <c r="H52" s="49">
        <f>+H48+H13+H51</f>
        <v>0</v>
      </c>
      <c r="I52" s="49">
        <f>+I48+I13+I51</f>
        <v>0</v>
      </c>
      <c r="J52" s="49">
        <f>+J48+J13+J51</f>
        <v>0</v>
      </c>
      <c r="K52" s="49">
        <f>+K48+K13+K51</f>
        <v>0</v>
      </c>
      <c r="L52" s="49">
        <f>+L48+L13+L51</f>
        <v>472692</v>
      </c>
      <c r="M52" s="49">
        <f>+M48+M13+M51</f>
        <v>0</v>
      </c>
      <c r="N52" s="49">
        <f>+N48+N13+N51</f>
        <v>0</v>
      </c>
      <c r="O52" s="49">
        <f>+O48+O13+O51</f>
        <v>0</v>
      </c>
      <c r="P52" s="49">
        <f>+P48+P13+P51</f>
        <v>0</v>
      </c>
      <c r="Q52" s="49">
        <f>+Q48+Q13+Q51</f>
        <v>686688</v>
      </c>
      <c r="R52" s="49">
        <f>+R48+R13+R51</f>
        <v>188686</v>
      </c>
      <c r="S52" s="49">
        <f>+S48+S13+S51</f>
        <v>177487</v>
      </c>
      <c r="T52" s="49">
        <f>+T48+T13+T51</f>
        <v>232390</v>
      </c>
      <c r="U52" s="49">
        <f>+U48+U13+U51</f>
        <v>219642</v>
      </c>
      <c r="V52" s="49">
        <f>+V48+V13+V51</f>
        <v>818205</v>
      </c>
      <c r="W52" s="49">
        <f>+W48+W13+W51</f>
        <v>178268</v>
      </c>
      <c r="X52" s="49"/>
      <c r="Y52" s="49"/>
      <c r="Z52" s="49"/>
      <c r="AA52" s="49"/>
      <c r="AB52" s="49"/>
    </row>
    <row r="53" spans="3:28" x14ac:dyDescent="0.2">
      <c r="C53" s="1" t="s">
        <v>67</v>
      </c>
      <c r="D53" s="3"/>
      <c r="E53" s="42">
        <f>IFERROR(+E52/E4,"-")</f>
        <v>0.12950688339051106</v>
      </c>
      <c r="F53" s="42">
        <f>IFERROR(+F52/F4,"-")</f>
        <v>0.14138276814085535</v>
      </c>
      <c r="G53" s="42">
        <f>IFERROR(+G52/G4,"-")</f>
        <v>0.16965312551497561</v>
      </c>
      <c r="H53" s="42" t="str">
        <f>IFERROR(+H52/H4,"-")</f>
        <v>-</v>
      </c>
      <c r="I53" s="42" t="str">
        <f>IFERROR(+I52/I4,"-")</f>
        <v>-</v>
      </c>
      <c r="J53" s="42" t="str">
        <f>IFERROR(+J52/J4,"-")</f>
        <v>-</v>
      </c>
      <c r="K53" s="42" t="str">
        <f>IFERROR(+K52/K4,"-")</f>
        <v>-</v>
      </c>
      <c r="L53" s="42">
        <f>IFERROR(+L52/L4,"-")</f>
        <v>0.17773863893591149</v>
      </c>
      <c r="M53" s="42" t="str">
        <f>IFERROR(+M52/M4,"-")</f>
        <v>-</v>
      </c>
      <c r="N53" s="42" t="str">
        <f>IFERROR(+N52/N4,"-")</f>
        <v>-</v>
      </c>
      <c r="O53" s="42" t="str">
        <f>IFERROR(+O52/O4,"-")</f>
        <v>-</v>
      </c>
      <c r="P53" s="42" t="str">
        <f>IFERROR(+P52/P4,"-")</f>
        <v>-</v>
      </c>
      <c r="Q53" s="42">
        <f>IFERROR(+Q52/Q4,"-")</f>
        <v>0.18271998092675534</v>
      </c>
      <c r="R53" s="42">
        <f>IFERROR(+R52/R4,"-")</f>
        <v>0.1610479219265048</v>
      </c>
      <c r="S53" s="42">
        <f>IFERROR(+S52/S4,"-")</f>
        <v>0.14854196429542851</v>
      </c>
      <c r="T53" s="42">
        <f>IFERROR(+T52/T4,"-")</f>
        <v>0.18940925243699672</v>
      </c>
      <c r="U53" s="42">
        <f>IFERROR(+U52/U4,"-")</f>
        <v>0.17838176305913328</v>
      </c>
      <c r="V53" s="42">
        <f>IFERROR(+V52/V4,"-")</f>
        <v>0.16958678035392061</v>
      </c>
      <c r="W53" s="42">
        <f>IFERROR(+W52/W4,"-")</f>
        <v>0.14721443901891174</v>
      </c>
      <c r="X53" s="5"/>
      <c r="Y53" s="5"/>
      <c r="Z53" s="5"/>
      <c r="AA53" s="5"/>
      <c r="AB53" s="5"/>
    </row>
    <row r="54" spans="3:28" x14ac:dyDescent="0.2">
      <c r="D54" s="3"/>
      <c r="E54" s="42"/>
      <c r="F54" s="42"/>
      <c r="G54" s="42"/>
      <c r="H54" s="42"/>
      <c r="I54" s="42"/>
      <c r="J54" s="42"/>
      <c r="K54" s="42"/>
      <c r="L54" s="42"/>
      <c r="M54" s="42"/>
      <c r="N54" s="42"/>
      <c r="O54" s="42"/>
      <c r="P54" s="42"/>
      <c r="Q54" s="42"/>
      <c r="R54" s="42"/>
      <c r="S54" s="42"/>
      <c r="T54" s="42"/>
      <c r="U54" s="42"/>
      <c r="V54" s="42"/>
      <c r="W54" s="42"/>
      <c r="X54" s="5"/>
      <c r="Y54" s="5"/>
      <c r="Z54" s="5"/>
      <c r="AA54" s="5"/>
      <c r="AB54" s="5"/>
    </row>
    <row r="55" spans="3:28" x14ac:dyDescent="0.2">
      <c r="C55" s="1" t="s">
        <v>140</v>
      </c>
      <c r="E55" s="55">
        <v>0</v>
      </c>
      <c r="F55" s="55">
        <v>0</v>
      </c>
      <c r="G55" s="55">
        <v>1776</v>
      </c>
      <c r="H55" s="37"/>
      <c r="I55" s="37"/>
      <c r="J55" s="37"/>
      <c r="K55" s="37"/>
      <c r="L55" s="55">
        <v>1827</v>
      </c>
      <c r="M55" s="2"/>
      <c r="N55" s="2"/>
      <c r="O55" s="2"/>
      <c r="P55" s="2"/>
      <c r="Q55" s="55">
        <v>8782</v>
      </c>
      <c r="R55" s="55">
        <v>3373</v>
      </c>
      <c r="S55" s="55">
        <v>2733</v>
      </c>
      <c r="T55" s="55">
        <v>2414</v>
      </c>
      <c r="U55" s="55">
        <v>2581</v>
      </c>
      <c r="V55" s="55">
        <v>11101</v>
      </c>
      <c r="W55" s="2">
        <v>300</v>
      </c>
      <c r="X55" s="2"/>
      <c r="Y55" s="2"/>
      <c r="Z55" s="2"/>
      <c r="AA55" s="2"/>
      <c r="AB55" s="2"/>
    </row>
    <row r="56" spans="3:28" x14ac:dyDescent="0.2">
      <c r="C56" s="1" t="s">
        <v>141</v>
      </c>
      <c r="E56" s="55">
        <v>0</v>
      </c>
      <c r="F56" s="55">
        <v>0</v>
      </c>
      <c r="G56" s="55">
        <v>0</v>
      </c>
      <c r="H56" s="37"/>
      <c r="I56" s="37"/>
      <c r="J56" s="37"/>
      <c r="K56" s="37"/>
      <c r="L56" s="55">
        <v>313</v>
      </c>
      <c r="M56" s="2"/>
      <c r="N56" s="2"/>
      <c r="O56" s="2"/>
      <c r="P56" s="2"/>
      <c r="Q56" s="55">
        <v>0</v>
      </c>
      <c r="R56" s="55">
        <v>1300</v>
      </c>
      <c r="S56" s="55">
        <v>0</v>
      </c>
      <c r="T56" s="55">
        <v>0</v>
      </c>
      <c r="U56" s="55">
        <v>750</v>
      </c>
      <c r="V56" s="55">
        <v>2050</v>
      </c>
      <c r="W56" s="2">
        <v>0</v>
      </c>
      <c r="X56" s="2"/>
      <c r="Y56" s="2"/>
      <c r="Z56" s="2"/>
      <c r="AA56" s="2"/>
      <c r="AB56" s="2"/>
    </row>
    <row r="57" spans="3:28" x14ac:dyDescent="0.2">
      <c r="C57" s="1" t="s">
        <v>142</v>
      </c>
      <c r="E57" s="55">
        <v>1772</v>
      </c>
      <c r="F57" s="55">
        <v>582</v>
      </c>
      <c r="G57" s="55">
        <v>12049</v>
      </c>
      <c r="H57" s="37"/>
      <c r="I57" s="37"/>
      <c r="J57" s="37"/>
      <c r="K57" s="37"/>
      <c r="L57" s="55">
        <v>4667</v>
      </c>
      <c r="M57" s="2"/>
      <c r="N57" s="2"/>
      <c r="O57" s="2"/>
      <c r="P57" s="2"/>
      <c r="Q57" s="55">
        <v>7197</v>
      </c>
      <c r="R57" s="55">
        <v>22785</v>
      </c>
      <c r="S57" s="55">
        <v>85941</v>
      </c>
      <c r="T57" s="55">
        <v>-6691</v>
      </c>
      <c r="U57" s="55">
        <v>-26302</v>
      </c>
      <c r="V57" s="55">
        <v>75733</v>
      </c>
      <c r="W57" s="2">
        <v>4608</v>
      </c>
      <c r="X57" s="2"/>
      <c r="Y57" s="2"/>
      <c r="Z57" s="2"/>
      <c r="AA57" s="2"/>
      <c r="AB57" s="2"/>
    </row>
    <row r="58" spans="3:28" x14ac:dyDescent="0.2">
      <c r="C58" s="1" t="s">
        <v>143</v>
      </c>
      <c r="E58" s="55">
        <v>-2946</v>
      </c>
      <c r="F58" s="55">
        <v>-1855</v>
      </c>
      <c r="G58" s="55">
        <v>-20089</v>
      </c>
      <c r="H58" s="37"/>
      <c r="I58" s="37"/>
      <c r="J58" s="37"/>
      <c r="K58" s="37"/>
      <c r="L58" s="55">
        <v>-20049</v>
      </c>
      <c r="M58" s="2"/>
      <c r="N58" s="2"/>
      <c r="O58" s="2"/>
      <c r="P58" s="2"/>
      <c r="Q58" s="55">
        <v>-27619</v>
      </c>
      <c r="R58" s="55">
        <v>-16469</v>
      </c>
      <c r="S58" s="55">
        <v>-36930</v>
      </c>
      <c r="T58" s="55">
        <v>-8044</v>
      </c>
      <c r="U58" s="55">
        <v>-3587</v>
      </c>
      <c r="V58" s="55">
        <v>-65030</v>
      </c>
      <c r="W58" s="2">
        <v>-11514</v>
      </c>
      <c r="X58" s="2"/>
      <c r="Y58" s="2"/>
      <c r="Z58" s="2"/>
      <c r="AA58" s="2"/>
      <c r="AB58" s="2"/>
    </row>
    <row r="59" spans="3:28" x14ac:dyDescent="0.2">
      <c r="C59" s="1" t="s">
        <v>144</v>
      </c>
      <c r="E59" s="55">
        <v>-855</v>
      </c>
      <c r="F59" s="55">
        <v>-1173</v>
      </c>
      <c r="G59" s="55">
        <v>0</v>
      </c>
      <c r="H59" s="37"/>
      <c r="I59" s="37"/>
      <c r="J59" s="37"/>
      <c r="K59" s="37"/>
      <c r="L59" s="55">
        <v>-36646</v>
      </c>
      <c r="M59" s="2"/>
      <c r="N59" s="2"/>
      <c r="O59" s="2"/>
      <c r="P59" s="2"/>
      <c r="Q59" s="55">
        <v>-71628</v>
      </c>
      <c r="R59" s="55">
        <v>-13109</v>
      </c>
      <c r="S59" s="55">
        <v>-7382</v>
      </c>
      <c r="T59" s="55">
        <v>-10879</v>
      </c>
      <c r="U59" s="55">
        <v>-3749</v>
      </c>
      <c r="V59" s="55">
        <v>-35119</v>
      </c>
      <c r="W59" s="2">
        <v>-6022</v>
      </c>
      <c r="X59" s="2"/>
      <c r="Y59" s="2"/>
      <c r="Z59" s="2"/>
      <c r="AA59" s="2"/>
      <c r="AB59" s="2"/>
    </row>
    <row r="60" spans="3:28" x14ac:dyDescent="0.2">
      <c r="C60" s="1" t="s">
        <v>145</v>
      </c>
      <c r="E60" s="55">
        <v>74632</v>
      </c>
      <c r="F60" s="55">
        <v>13</v>
      </c>
      <c r="G60" s="55">
        <v>-28385</v>
      </c>
      <c r="H60" s="37"/>
      <c r="I60" s="37"/>
      <c r="J60" s="37"/>
      <c r="K60" s="37"/>
      <c r="L60" s="55">
        <v>0</v>
      </c>
      <c r="M60" s="2"/>
      <c r="N60" s="2"/>
      <c r="O60" s="2"/>
      <c r="P60" s="2"/>
      <c r="Q60" s="55">
        <v>0</v>
      </c>
      <c r="R60" s="55">
        <v>0</v>
      </c>
      <c r="S60" s="55">
        <v>-7195</v>
      </c>
      <c r="T60" s="55">
        <v>-1278</v>
      </c>
      <c r="U60" s="55">
        <v>0</v>
      </c>
      <c r="V60" s="55">
        <v>-8473</v>
      </c>
      <c r="W60" s="2">
        <v>-968</v>
      </c>
      <c r="X60" s="2"/>
      <c r="Y60" s="2"/>
      <c r="Z60" s="2"/>
      <c r="AA60" s="2"/>
      <c r="AB60" s="2"/>
    </row>
    <row r="61" spans="3:28" x14ac:dyDescent="0.2">
      <c r="C61" s="48" t="s">
        <v>146</v>
      </c>
      <c r="D61" s="48"/>
      <c r="E61" s="49">
        <f>+E52+E17+E18+E19+SUM(E55:E60)</f>
        <v>160260</v>
      </c>
      <c r="F61" s="49">
        <f>+F52+F17+F18+F19+SUM(F55:F60)</f>
        <v>252615</v>
      </c>
      <c r="G61" s="49">
        <f>+G52+G17+G18+G19+SUM(G55:G60)</f>
        <v>312708</v>
      </c>
      <c r="H61" s="49">
        <f>+H52+H17+H18+H19+SUM(H55:H60)</f>
        <v>0</v>
      </c>
      <c r="I61" s="49">
        <f>+I52+I17+I18+I19+SUM(I55:I60)</f>
        <v>0</v>
      </c>
      <c r="J61" s="49">
        <f>+J52+J17+J18+J19+SUM(J55:J60)</f>
        <v>0</v>
      </c>
      <c r="K61" s="49">
        <f>+K52+K17+K18+K19+SUM(K55:K60)</f>
        <v>0</v>
      </c>
      <c r="L61" s="49">
        <f>+L52+L17+L18+L19+SUM(L55:L60)</f>
        <v>370640</v>
      </c>
      <c r="M61" s="49">
        <f>+M52+M17+M18+M19+SUM(M55:M60)</f>
        <v>0</v>
      </c>
      <c r="N61" s="49">
        <f>+N52+N17+N18+N19+SUM(N55:N60)</f>
        <v>0</v>
      </c>
      <c r="O61" s="49">
        <f>+O52+O17+O18+O19+SUM(O55:O60)</f>
        <v>0</v>
      </c>
      <c r="P61" s="49">
        <f>+P52+P17+P18+P19+SUM(P55:P60)</f>
        <v>0</v>
      </c>
      <c r="Q61" s="49">
        <f>+Q52+Q17+Q18+Q19+SUM(Q55:Q60)</f>
        <v>542756</v>
      </c>
      <c r="R61" s="49">
        <f>+R52+R17+R18+R19+SUM(R55:R60)</f>
        <v>147043</v>
      </c>
      <c r="S61" s="49">
        <f>+S52+S17+S18+S19+SUM(S55:S60)</f>
        <v>140238</v>
      </c>
      <c r="T61" s="49">
        <f>+T52+T17+T18+T19+SUM(T55:T60)</f>
        <v>183739</v>
      </c>
      <c r="U61" s="49">
        <f>+U52+U17+U18+U19+SUM(U55:U60)</f>
        <v>173897</v>
      </c>
      <c r="V61" s="49">
        <f>+V52+V17+V18+V19+SUM(V55:V60)</f>
        <v>644917</v>
      </c>
      <c r="W61" s="49">
        <f>+W52+W17+W18+W19+SUM(W55:W60)</f>
        <v>146593</v>
      </c>
      <c r="X61" s="49"/>
      <c r="Y61" s="49"/>
      <c r="Z61" s="49"/>
      <c r="AA61" s="49"/>
      <c r="AB61" s="49"/>
    </row>
    <row r="62" spans="3:28" x14ac:dyDescent="0.2">
      <c r="C62" s="1" t="s">
        <v>147</v>
      </c>
      <c r="D62" s="3"/>
      <c r="E62" s="42">
        <f>+IFERROR(E61/E4,"-")</f>
        <v>0.11049000033093223</v>
      </c>
      <c r="F62" s="42">
        <f>+IFERROR(F61/F4,"-")</f>
        <v>0.13707382663957909</v>
      </c>
      <c r="G62" s="42">
        <f>+IFERROR(G61/G4,"-")</f>
        <v>0.13632761036499291</v>
      </c>
      <c r="H62" s="42" t="str">
        <f>+IFERROR(H61/H4,"-")</f>
        <v>-</v>
      </c>
      <c r="I62" s="42" t="str">
        <f>+IFERROR(I61/I4,"-")</f>
        <v>-</v>
      </c>
      <c r="J62" s="42" t="str">
        <f>+IFERROR(J61/J4,"-")</f>
        <v>-</v>
      </c>
      <c r="K62" s="42" t="str">
        <f>+IFERROR(K61/K4,"-")</f>
        <v>-</v>
      </c>
      <c r="L62" s="42">
        <f>+IFERROR(L61/L4,"-")</f>
        <v>0.13936569507249166</v>
      </c>
      <c r="M62" s="42" t="str">
        <f>+IFERROR(M61/M4,"-")</f>
        <v>-</v>
      </c>
      <c r="N62" s="42" t="str">
        <f>+IFERROR(N61/N4,"-")</f>
        <v>-</v>
      </c>
      <c r="O62" s="42" t="str">
        <f>+IFERROR(O61/O4,"-")</f>
        <v>-</v>
      </c>
      <c r="P62" s="42" t="str">
        <f>+IFERROR(P61/P4,"-")</f>
        <v>-</v>
      </c>
      <c r="Q62" s="42">
        <f>+IFERROR(Q61/Q4,"-")</f>
        <v>0.14442128880638955</v>
      </c>
      <c r="R62" s="42">
        <f>+IFERROR(R61/R4,"-")</f>
        <v>0.12550464572802988</v>
      </c>
      <c r="S62" s="42">
        <f>+IFERROR(S61/S4,"-")</f>
        <v>0.11736762686203667</v>
      </c>
      <c r="T62" s="42">
        <f>+IFERROR(T61/T4,"-")</f>
        <v>0.14975630032927983</v>
      </c>
      <c r="U62" s="42">
        <f>+IFERROR(U61/U4,"-")</f>
        <v>0.14123006278714501</v>
      </c>
      <c r="V62" s="42">
        <f>+IFERROR(V61/V4,"-")</f>
        <v>0.13366992089453061</v>
      </c>
      <c r="W62" s="42">
        <f>+IFERROR(W61/W4,"-")</f>
        <v>0.12105709526723432</v>
      </c>
      <c r="X62" s="5"/>
      <c r="Y62" s="5"/>
      <c r="Z62" s="5"/>
      <c r="AA62" s="5"/>
      <c r="AB62" s="5"/>
    </row>
    <row r="63" spans="3:28" x14ac:dyDescent="0.2">
      <c r="C63" s="3"/>
      <c r="D63" s="3"/>
      <c r="E63" s="3"/>
      <c r="F63" s="3"/>
      <c r="G63" s="5"/>
      <c r="H63" s="5"/>
      <c r="I63" s="5"/>
      <c r="J63" s="5"/>
      <c r="K63" s="5"/>
      <c r="L63" s="5"/>
      <c r="M63" s="5"/>
      <c r="N63" s="5"/>
      <c r="O63" s="5"/>
      <c r="P63" s="5"/>
      <c r="Q63" s="5"/>
      <c r="R63" s="5"/>
      <c r="S63" s="5"/>
      <c r="T63" s="5"/>
      <c r="U63" s="5"/>
      <c r="V63" s="5"/>
      <c r="W63" s="5"/>
      <c r="X63" s="5"/>
      <c r="Y63" s="5"/>
      <c r="Z63" s="5"/>
      <c r="AA63" s="5"/>
      <c r="AB63" s="5"/>
    </row>
    <row r="64" spans="3:28" x14ac:dyDescent="0.2">
      <c r="C64" s="1" t="s">
        <v>148</v>
      </c>
      <c r="D64" s="3"/>
      <c r="E64" s="9">
        <f t="shared" ref="E64:V64" si="12">IFERROR(+E61/E27,"-")</f>
        <v>2.9146660846791792</v>
      </c>
      <c r="F64" s="9">
        <f t="shared" si="12"/>
        <v>4.457413583187761</v>
      </c>
      <c r="G64" s="9">
        <f t="shared" si="12"/>
        <v>5.4225567038912397</v>
      </c>
      <c r="H64" s="9" t="str">
        <f t="shared" si="12"/>
        <v>-</v>
      </c>
      <c r="I64" s="9" t="str">
        <f t="shared" si="12"/>
        <v>-</v>
      </c>
      <c r="J64" s="9" t="str">
        <f t="shared" si="12"/>
        <v>-</v>
      </c>
      <c r="K64" s="9" t="str">
        <f t="shared" si="12"/>
        <v>-</v>
      </c>
      <c r="L64" s="9">
        <f t="shared" si="12"/>
        <v>6.3415802621223012</v>
      </c>
      <c r="M64" s="9" t="str">
        <f t="shared" si="12"/>
        <v>-</v>
      </c>
      <c r="N64" s="9" t="str">
        <f t="shared" si="12"/>
        <v>-</v>
      </c>
      <c r="O64" s="9" t="str">
        <f t="shared" si="12"/>
        <v>-</v>
      </c>
      <c r="P64" s="9" t="str">
        <f t="shared" si="12"/>
        <v>-</v>
      </c>
      <c r="Q64" s="9">
        <f t="shared" si="12"/>
        <v>9.1892861980224847</v>
      </c>
      <c r="R64" s="9">
        <f t="shared" si="12"/>
        <v>2.4947489862744101</v>
      </c>
      <c r="S64" s="9">
        <f t="shared" si="12"/>
        <v>2.3761097932904098</v>
      </c>
      <c r="T64" s="9">
        <f t="shared" si="12"/>
        <v>3.095490001179305</v>
      </c>
      <c r="U64" s="9">
        <f t="shared" si="12"/>
        <v>2.9300746432121856</v>
      </c>
      <c r="V64" s="9">
        <f t="shared" si="12"/>
        <v>10.899575791377242</v>
      </c>
      <c r="W64" s="9">
        <f>IFERROR(+W61/W27,"-")</f>
        <v>2.4721407130088706</v>
      </c>
      <c r="X64" s="9"/>
      <c r="Y64" s="9"/>
      <c r="Z64" s="9"/>
      <c r="AA64" s="9"/>
      <c r="AB64" s="5"/>
    </row>
    <row r="65" spans="3:28" x14ac:dyDescent="0.2">
      <c r="C65" s="1" t="s">
        <v>150</v>
      </c>
      <c r="D65" s="3"/>
      <c r="E65" s="60">
        <v>3.38</v>
      </c>
      <c r="F65" s="60">
        <v>4.03</v>
      </c>
      <c r="G65" s="60">
        <v>5.0599999999999996</v>
      </c>
      <c r="H65" s="51"/>
      <c r="I65" s="51"/>
      <c r="J65" s="51"/>
      <c r="K65" s="51"/>
      <c r="L65" s="60">
        <v>6.3</v>
      </c>
      <c r="M65" s="9"/>
      <c r="N65" s="9"/>
      <c r="O65" s="9"/>
      <c r="P65" s="9"/>
      <c r="Q65" s="60">
        <f>+(6.65+6.86)/2</f>
        <v>6.7550000000000008</v>
      </c>
      <c r="R65" s="60">
        <f>+(2.58+2.66)/2</f>
        <v>2.62</v>
      </c>
      <c r="S65" s="60">
        <v>1.7</v>
      </c>
      <c r="T65" s="60">
        <v>2.48</v>
      </c>
      <c r="U65" s="60">
        <f>+(2.62+2.7)/2</f>
        <v>2.66</v>
      </c>
      <c r="V65" s="60">
        <f>+(11.36+11.69)/2</f>
        <v>11.524999999999999</v>
      </c>
      <c r="W65" s="9">
        <f>+(2.3+2.38)/2</f>
        <v>2.34</v>
      </c>
      <c r="X65" s="9">
        <f>+(2.38+2.46)/2</f>
        <v>2.42</v>
      </c>
      <c r="Y65" s="9"/>
      <c r="Z65" s="9"/>
      <c r="AA65" s="9">
        <f>+(11.15+11.35)/2</f>
        <v>11.25</v>
      </c>
      <c r="AB65" s="5"/>
    </row>
    <row r="66" spans="3:28" x14ac:dyDescent="0.2">
      <c r="C66" s="1" t="s">
        <v>151</v>
      </c>
      <c r="D66" s="3"/>
      <c r="E66" s="46">
        <f>+E64/E65-1</f>
        <v>-0.13767275601207718</v>
      </c>
      <c r="F66" s="46">
        <f>+F64/F65-1</f>
        <v>0.10605796108877441</v>
      </c>
      <c r="G66" s="46">
        <f>+G64/G65-1</f>
        <v>7.1651522508150212E-2</v>
      </c>
      <c r="H66" s="52"/>
      <c r="I66" s="52"/>
      <c r="J66" s="52"/>
      <c r="K66" s="52"/>
      <c r="L66" s="46">
        <f>+L64/L65-1</f>
        <v>6.6000416067144574E-3</v>
      </c>
      <c r="M66" s="42"/>
      <c r="N66" s="42"/>
      <c r="O66" s="42"/>
      <c r="P66" s="42"/>
      <c r="Q66" s="46">
        <f>+Q64/Q65-1</f>
        <v>0.36036805300110797</v>
      </c>
      <c r="R66" s="46">
        <f>+R64/R65-1</f>
        <v>-4.7805730429614557E-2</v>
      </c>
      <c r="S66" s="46">
        <f>+S64/S65-1</f>
        <v>0.3977116431120058</v>
      </c>
      <c r="T66" s="46">
        <f>+T64/T65-1</f>
        <v>0.24818145208842934</v>
      </c>
      <c r="U66" s="46">
        <f>+U64/U65-1</f>
        <v>0.10153182075646061</v>
      </c>
      <c r="V66" s="46">
        <f>+V64/V65-1</f>
        <v>-5.4266742613688246E-2</v>
      </c>
      <c r="W66" s="42">
        <f>+W64/W65-1</f>
        <v>5.6470390174730989E-2</v>
      </c>
      <c r="X66" s="42"/>
      <c r="Y66" s="42"/>
      <c r="Z66" s="42"/>
      <c r="AA66" s="42"/>
      <c r="AB66" s="5"/>
    </row>
    <row r="67" spans="3:28" x14ac:dyDescent="0.2">
      <c r="C67" s="61"/>
      <c r="D67" s="62"/>
      <c r="E67" s="46"/>
      <c r="F67" s="46"/>
      <c r="G67" s="46"/>
      <c r="H67" s="46"/>
      <c r="I67" s="46"/>
      <c r="J67" s="46"/>
      <c r="K67" s="46"/>
      <c r="L67" s="46"/>
      <c r="M67" s="46"/>
      <c r="N67" s="46"/>
      <c r="O67" s="46"/>
      <c r="P67" s="46"/>
      <c r="Q67" s="46"/>
      <c r="R67" s="46"/>
      <c r="S67" s="46"/>
      <c r="T67" s="46"/>
      <c r="U67" s="46"/>
      <c r="V67" s="46"/>
      <c r="W67" s="46"/>
      <c r="X67" s="57"/>
      <c r="Y67" s="57"/>
      <c r="Z67" s="57"/>
      <c r="AA67" s="57"/>
      <c r="AB67" s="57"/>
    </row>
    <row r="68" spans="3:28" x14ac:dyDescent="0.2">
      <c r="C68" s="63" t="s">
        <v>190</v>
      </c>
      <c r="D68" s="63"/>
      <c r="E68" s="64">
        <f>+SUM(E33:E35,E40:E45,E57,E58,E60)</f>
        <v>74012</v>
      </c>
      <c r="F68" s="64">
        <f>+SUM(F33:F35,F40:F45,F57,F58,F60)</f>
        <v>-1221</v>
      </c>
      <c r="G68" s="64">
        <f>+SUM(G33:G35,G40:G45,G57,G58,G60)</f>
        <v>-32075</v>
      </c>
      <c r="H68" s="65"/>
      <c r="I68" s="65"/>
      <c r="J68" s="65"/>
      <c r="K68" s="65"/>
      <c r="L68" s="64">
        <f>+SUM(L33:L35,L40:L45,L57,L58,L60)</f>
        <v>-9592</v>
      </c>
      <c r="M68" s="65"/>
      <c r="N68" s="65"/>
      <c r="O68" s="65"/>
      <c r="P68" s="65"/>
      <c r="Q68" s="64">
        <f>+SUM(Q33:Q35,Q40:Q45,Q57,Q58,Q60)</f>
        <v>-13846</v>
      </c>
      <c r="R68" s="64">
        <f>+SUM(R33:R35,R40:R45,R57,R58,R60)</f>
        <v>53404</v>
      </c>
      <c r="S68" s="64">
        <f>+SUM(S33:S35,S40:S45,S57,S58,S60)</f>
        <v>92634</v>
      </c>
      <c r="T68" s="64">
        <f>+SUM(T33:T35,T40:T45,T57,T58,T60)</f>
        <v>-2721</v>
      </c>
      <c r="U68" s="64">
        <f>+SUM(U33:U35,U40:U45,U57,U58,U60)</f>
        <v>-17980</v>
      </c>
      <c r="V68" s="64">
        <f>+SUM(V33:V35,V40:V45,V57,V58,V60)</f>
        <v>125337</v>
      </c>
      <c r="W68" s="64">
        <f>+SUM(W33:W35,W40:W45,W57,W58,W60)</f>
        <v>5907</v>
      </c>
      <c r="X68" s="64"/>
      <c r="Y68" s="64"/>
      <c r="Z68" s="64"/>
      <c r="AA68" s="64"/>
      <c r="AB68" s="64"/>
    </row>
    <row r="69" spans="3:28" x14ac:dyDescent="0.2">
      <c r="C69" s="61"/>
      <c r="D69" s="62"/>
      <c r="E69" s="46"/>
      <c r="F69" s="46"/>
      <c r="G69" s="46"/>
      <c r="H69" s="46"/>
      <c r="I69" s="46"/>
      <c r="J69" s="46"/>
      <c r="K69" s="46"/>
      <c r="L69" s="46"/>
      <c r="M69" s="46"/>
      <c r="N69" s="46"/>
      <c r="O69" s="46"/>
      <c r="P69" s="46"/>
      <c r="Q69" s="46"/>
      <c r="R69" s="46"/>
      <c r="S69" s="46"/>
      <c r="T69" s="46"/>
      <c r="U69" s="46"/>
      <c r="V69" s="46"/>
      <c r="W69" s="46"/>
      <c r="X69" s="57"/>
      <c r="Y69" s="57"/>
      <c r="Z69" s="57"/>
      <c r="AA69" s="57"/>
      <c r="AB69" s="57"/>
    </row>
    <row r="70" spans="3:28" x14ac:dyDescent="0.2">
      <c r="C70" s="22" t="s">
        <v>78</v>
      </c>
      <c r="D70" s="35"/>
      <c r="E70" s="35">
        <v>2017</v>
      </c>
      <c r="F70" s="35">
        <v>2018</v>
      </c>
      <c r="G70" s="35">
        <v>2019</v>
      </c>
      <c r="H70" s="12" t="s">
        <v>23</v>
      </c>
      <c r="I70" s="12" t="s">
        <v>24</v>
      </c>
      <c r="J70" s="12" t="s">
        <v>25</v>
      </c>
      <c r="K70" s="12" t="s">
        <v>27</v>
      </c>
      <c r="L70" s="35">
        <v>2020</v>
      </c>
      <c r="M70" s="12" t="s">
        <v>21</v>
      </c>
      <c r="N70" s="12" t="s">
        <v>22</v>
      </c>
      <c r="O70" s="12" t="s">
        <v>28</v>
      </c>
      <c r="P70" s="12" t="s">
        <v>26</v>
      </c>
      <c r="Q70" s="35">
        <v>2021</v>
      </c>
      <c r="R70" s="12" t="s">
        <v>30</v>
      </c>
      <c r="S70" s="12" t="s">
        <v>31</v>
      </c>
      <c r="T70" s="12" t="s">
        <v>32</v>
      </c>
      <c r="U70" s="12" t="s">
        <v>33</v>
      </c>
      <c r="V70" s="35">
        <v>2022</v>
      </c>
      <c r="W70" s="12" t="s">
        <v>34</v>
      </c>
      <c r="X70" s="12" t="s">
        <v>35</v>
      </c>
      <c r="Y70" s="12" t="s">
        <v>36</v>
      </c>
      <c r="Z70" s="12" t="s">
        <v>37</v>
      </c>
      <c r="AA70" s="35">
        <f>+V70+1</f>
        <v>2023</v>
      </c>
      <c r="AB70" s="35">
        <f>+AA70+1</f>
        <v>2024</v>
      </c>
    </row>
    <row r="71" spans="3:28" x14ac:dyDescent="0.2">
      <c r="C71" s="1" t="s">
        <v>79</v>
      </c>
      <c r="E71" s="39">
        <f>+E7</f>
        <v>0.3647810883258138</v>
      </c>
      <c r="F71" s="39">
        <f>+F7</f>
        <v>0.35595351270163739</v>
      </c>
      <c r="G71" s="39">
        <f>+G7</f>
        <v>0.35120790932767404</v>
      </c>
      <c r="H71" s="39" t="str">
        <f>+H7</f>
        <v>-</v>
      </c>
      <c r="I71" s="39" t="str">
        <f>+I7</f>
        <v>-</v>
      </c>
      <c r="J71" s="39" t="str">
        <f>+J7</f>
        <v>-</v>
      </c>
      <c r="K71" s="39" t="str">
        <f>+K7</f>
        <v>-</v>
      </c>
      <c r="L71" s="39">
        <f>+L7</f>
        <v>0.3485480985366301</v>
      </c>
      <c r="M71" s="39" t="str">
        <f>+M7</f>
        <v>-</v>
      </c>
      <c r="N71" s="39" t="str">
        <f>+N7</f>
        <v>-</v>
      </c>
      <c r="O71" s="39" t="str">
        <f>+O7</f>
        <v>-</v>
      </c>
      <c r="P71" s="39" t="str">
        <f>+P7</f>
        <v>-</v>
      </c>
      <c r="Q71" s="39">
        <f>+Q7</f>
        <v>0.33911606367398378</v>
      </c>
      <c r="R71" s="39">
        <f>+R7</f>
        <v>0.33353817895655052</v>
      </c>
      <c r="S71" s="39">
        <f>+S7</f>
        <v>0.2916975279969804</v>
      </c>
      <c r="T71" s="39">
        <f>+T7</f>
        <v>0.32612069246568642</v>
      </c>
      <c r="U71" s="39">
        <f>+U7</f>
        <v>0.32370180207471272</v>
      </c>
      <c r="V71" s="39">
        <f>+V7</f>
        <v>0.31877953811824078</v>
      </c>
      <c r="W71" s="39">
        <f>+W7</f>
        <v>0.2931934751569234</v>
      </c>
      <c r="X71" s="2"/>
      <c r="Y71" s="30"/>
      <c r="Z71" s="27"/>
      <c r="AA71" s="39"/>
      <c r="AB71" s="39"/>
    </row>
    <row r="72" spans="3:28" x14ac:dyDescent="0.2">
      <c r="C72" s="1" t="s">
        <v>80</v>
      </c>
      <c r="E72" s="43">
        <f>-E9/E4</f>
        <v>0.22585297783857125</v>
      </c>
      <c r="F72" s="43">
        <f>-F9/F4</f>
        <v>0.20271559358233057</v>
      </c>
      <c r="G72" s="43">
        <f>-G9/G4</f>
        <v>0.19942165787920296</v>
      </c>
      <c r="H72" s="43" t="e">
        <f>-H9/H4</f>
        <v>#DIV/0!</v>
      </c>
      <c r="I72" s="43" t="e">
        <f>-I9/I4</f>
        <v>#DIV/0!</v>
      </c>
      <c r="J72" s="43" t="e">
        <f>-J9/J4</f>
        <v>#DIV/0!</v>
      </c>
      <c r="K72" s="43" t="e">
        <f>-K9/K4</f>
        <v>#DIV/0!</v>
      </c>
      <c r="L72" s="43">
        <f>-L9/L4</f>
        <v>0.18227561950127055</v>
      </c>
      <c r="M72" s="43" t="e">
        <f>-M9/M4</f>
        <v>#DIV/0!</v>
      </c>
      <c r="N72" s="43" t="e">
        <f>-N9/N4</f>
        <v>#DIV/0!</v>
      </c>
      <c r="O72" s="43" t="e">
        <f>-O9/O4</f>
        <v>#DIV/0!</v>
      </c>
      <c r="P72" s="43" t="e">
        <f>-P9/P4</f>
        <v>#DIV/0!</v>
      </c>
      <c r="Q72" s="43">
        <f>-Q9/Q4</f>
        <v>0.17262137906370803</v>
      </c>
      <c r="R72" s="43">
        <f>-R9/R4</f>
        <v>0.20252147891711775</v>
      </c>
      <c r="S72" s="43">
        <f>-S9/S4</f>
        <v>0.1946058997657468</v>
      </c>
      <c r="T72" s="43">
        <f>-T9/T4</f>
        <v>0.16139683108923158</v>
      </c>
      <c r="U72" s="43">
        <f>-U9/U4</f>
        <v>0.16645131214656345</v>
      </c>
      <c r="V72" s="43">
        <f>-V9/V4</f>
        <v>0.1808977473823232</v>
      </c>
      <c r="W72" s="43">
        <f>-W9/W4</f>
        <v>0.1749771458725074</v>
      </c>
      <c r="X72" s="2"/>
      <c r="Y72" s="30"/>
      <c r="Z72" s="27"/>
      <c r="AA72" s="27"/>
      <c r="AB72" s="27"/>
    </row>
    <row r="73" spans="3:28" x14ac:dyDescent="0.2">
      <c r="C73" s="1" t="s">
        <v>67</v>
      </c>
      <c r="E73" s="43">
        <f>+E11</f>
        <v>0.13892811048724257</v>
      </c>
      <c r="F73" s="43">
        <f>+F11</f>
        <v>0.15323791911930684</v>
      </c>
      <c r="G73" s="43">
        <f>+G11</f>
        <v>0.15178625144847105</v>
      </c>
      <c r="H73" s="43" t="str">
        <f>+H11</f>
        <v>-</v>
      </c>
      <c r="I73" s="43" t="str">
        <f>+I11</f>
        <v>-</v>
      </c>
      <c r="J73" s="43" t="str">
        <f>+J11</f>
        <v>-</v>
      </c>
      <c r="K73" s="43" t="str">
        <f>+K11</f>
        <v>-</v>
      </c>
      <c r="L73" s="43">
        <f>+L11</f>
        <v>0.16627247903535958</v>
      </c>
      <c r="M73" s="43" t="str">
        <f>+M11</f>
        <v>-</v>
      </c>
      <c r="N73" s="43" t="str">
        <f>+N11</f>
        <v>-</v>
      </c>
      <c r="O73" s="43" t="str">
        <f>+O11</f>
        <v>-</v>
      </c>
      <c r="P73" s="43" t="str">
        <f>+P11</f>
        <v>-</v>
      </c>
      <c r="Q73" s="43">
        <f>+Q11</f>
        <v>0.16649468461027572</v>
      </c>
      <c r="R73" s="43">
        <f>+R11</f>
        <v>0.13101670003943278</v>
      </c>
      <c r="S73" s="43">
        <f>+S11</f>
        <v>9.7091628231233587E-2</v>
      </c>
      <c r="T73" s="43">
        <f>+T11</f>
        <v>0.16472386137645487</v>
      </c>
      <c r="U73" s="43">
        <f>+U11</f>
        <v>0.15725048992814927</v>
      </c>
      <c r="V73" s="43">
        <f>+V11</f>
        <v>0.13788179073591755</v>
      </c>
      <c r="W73" s="43">
        <f>+W11</f>
        <v>0.118216329284416</v>
      </c>
      <c r="X73" s="2"/>
      <c r="Y73" s="30"/>
      <c r="Z73" s="27"/>
      <c r="AA73" s="27"/>
      <c r="AB73" s="27"/>
    </row>
    <row r="74" spans="3:28" x14ac:dyDescent="0.2">
      <c r="C74" s="1" t="s">
        <v>81</v>
      </c>
      <c r="E74" s="43">
        <f>-E13/E4</f>
        <v>1.9691846932809724E-2</v>
      </c>
      <c r="F74" s="43">
        <f>-F13/F4</f>
        <v>1.988157871889705E-2</v>
      </c>
      <c r="G74" s="43">
        <f>-G13/G4</f>
        <v>1.9756316816040471E-2</v>
      </c>
      <c r="H74" s="2"/>
      <c r="I74" s="2"/>
      <c r="J74" s="2"/>
      <c r="K74" s="2"/>
      <c r="L74" s="43">
        <f>-L13/L4</f>
        <v>2.3641481523817832E-2</v>
      </c>
      <c r="M74" s="2"/>
      <c r="N74" s="2"/>
      <c r="O74" s="2"/>
      <c r="P74" s="2"/>
      <c r="Q74" s="43">
        <f>-Q13/Q4</f>
        <v>2.2190474872703123E-2</v>
      </c>
      <c r="R74" s="43">
        <f>-R13/R4</f>
        <v>2.0705624890108857E-2</v>
      </c>
      <c r="S74" s="43">
        <f>-S13/S4</f>
        <v>1.9241568684558289E-2</v>
      </c>
      <c r="T74" s="43">
        <f>-T13/T4</f>
        <v>1.7830013366804683E-2</v>
      </c>
      <c r="U74" s="43">
        <f>-U13/U4</f>
        <v>1.8797972554277866E-2</v>
      </c>
      <c r="V74" s="43">
        <f>-V13/V4</f>
        <v>1.9124927612049501E-2</v>
      </c>
      <c r="W74" s="43">
        <f>-W13/W4</f>
        <v>1.8813468203653191E-2</v>
      </c>
      <c r="X74" s="2"/>
      <c r="Y74" s="30"/>
      <c r="Z74" s="27"/>
      <c r="AA74" s="27"/>
      <c r="AB74" s="27"/>
    </row>
    <row r="75" spans="3:28" x14ac:dyDescent="0.2">
      <c r="C75" s="1" t="s">
        <v>82</v>
      </c>
      <c r="E75" s="43">
        <f>+E15</f>
        <v>0.11923626355443284</v>
      </c>
      <c r="F75" s="43">
        <f>+F15</f>
        <v>0.13335634040040978</v>
      </c>
      <c r="G75" s="43">
        <f>+G15</f>
        <v>0.13202993463243057</v>
      </c>
      <c r="H75" s="43" t="str">
        <f>+H15</f>
        <v>-</v>
      </c>
      <c r="I75" s="43" t="str">
        <f>+I15</f>
        <v>-</v>
      </c>
      <c r="J75" s="43" t="str">
        <f>+J15</f>
        <v>-</v>
      </c>
      <c r="K75" s="43" t="str">
        <f>+K15</f>
        <v>-</v>
      </c>
      <c r="L75" s="43">
        <f>+L15</f>
        <v>0.14263099751154174</v>
      </c>
      <c r="M75" s="43" t="str">
        <f>+M15</f>
        <v>-</v>
      </c>
      <c r="N75" s="43" t="str">
        <f>+N15</f>
        <v>-</v>
      </c>
      <c r="O75" s="43" t="str">
        <f>+O15</f>
        <v>-</v>
      </c>
      <c r="P75" s="43" t="str">
        <f>+P15</f>
        <v>-</v>
      </c>
      <c r="Q75" s="43">
        <f>+Q15</f>
        <v>0.14430420973757258</v>
      </c>
      <c r="R75" s="43">
        <f>+R15</f>
        <v>0.11031107514932392</v>
      </c>
      <c r="S75" s="43">
        <f>+S15</f>
        <v>7.7850059546675301E-2</v>
      </c>
      <c r="T75" s="43">
        <f>+T15</f>
        <v>0.14689384800965019</v>
      </c>
      <c r="U75" s="43">
        <f>+U15</f>
        <v>0.13845251737387143</v>
      </c>
      <c r="V75" s="43">
        <f>+V15</f>
        <v>0.11875686312386806</v>
      </c>
      <c r="W75" s="43">
        <f>+W15</f>
        <v>9.9402861080762808E-2</v>
      </c>
      <c r="X75" s="2"/>
      <c r="Y75" s="30"/>
      <c r="Z75" s="27"/>
      <c r="AA75" s="27"/>
      <c r="AB75" s="27"/>
    </row>
    <row r="76" spans="3:28" x14ac:dyDescent="0.2">
      <c r="C76" s="1" t="s">
        <v>155</v>
      </c>
      <c r="E76" s="43"/>
      <c r="F76" s="43">
        <f>IFERROR(-F17/((F129+E129)/2),"-")</f>
        <v>5.4056501476116986E-3</v>
      </c>
      <c r="G76" s="43">
        <f>IFERROR(-G17/((G129+F129)/2),"-")</f>
        <v>1.0530978578360136E-2</v>
      </c>
      <c r="H76" s="43"/>
      <c r="I76" s="43"/>
      <c r="J76" s="43"/>
      <c r="K76" s="43"/>
      <c r="L76" s="43">
        <f>IFERROR(-L17/((L129+G129)/2),"-")</f>
        <v>3.3694804590851004E-3</v>
      </c>
      <c r="M76" s="43"/>
      <c r="N76" s="43"/>
      <c r="O76" s="43"/>
      <c r="P76" s="43"/>
      <c r="Q76" s="43">
        <f>IFERROR(-Q17/((Q129+L129)/2),"-")</f>
        <v>-1.2525906759238944E-3</v>
      </c>
      <c r="R76" s="43">
        <f>-R17/((R129+P129)/2)</f>
        <v>-2.6698791515609489E-4</v>
      </c>
      <c r="S76" s="43">
        <f>-S17/((S129+Q129)/2)</f>
        <v>1.1622827114679175E-3</v>
      </c>
      <c r="T76" s="43">
        <f>-T17/((T129+R129)/2)</f>
        <v>3.0773284305697789E-3</v>
      </c>
      <c r="U76" s="43">
        <f>-U17/((U129+S129)/2)</f>
        <v>2.8951522877846106E-3</v>
      </c>
      <c r="V76" s="43">
        <f>-V17/((V129+T129)/2)</f>
        <v>6.2210029125463508E-3</v>
      </c>
      <c r="W76" s="43">
        <f>-W17/((W129+U129)/2)</f>
        <v>6.5972488653373296E-3</v>
      </c>
      <c r="X76" s="2"/>
      <c r="Y76" s="30"/>
      <c r="Z76" s="27"/>
      <c r="AA76" s="27"/>
      <c r="AB76" s="27"/>
    </row>
    <row r="77" spans="3:28" x14ac:dyDescent="0.2">
      <c r="C77" s="1" t="s">
        <v>83</v>
      </c>
      <c r="E77" s="43">
        <f>-E19/(E14+E17+E18)</f>
        <v>0.58257078110209115</v>
      </c>
      <c r="F77" s="43">
        <f>-F19/(F14+F17+F18)</f>
        <v>3.8102597158219662E-2</v>
      </c>
      <c r="G77" s="43">
        <f>-G19/(G14+G17+G18)</f>
        <v>0.12843292401995152</v>
      </c>
      <c r="H77" s="43"/>
      <c r="I77" s="43"/>
      <c r="J77" s="43"/>
      <c r="K77" s="43"/>
      <c r="L77" s="43">
        <f>-L19/(L14+L17+L18)</f>
        <v>0.13559272773390332</v>
      </c>
      <c r="M77" s="43"/>
      <c r="N77" s="43"/>
      <c r="O77" s="43"/>
      <c r="P77" s="43"/>
      <c r="Q77" s="43">
        <f>-Q19/(Q14+Q17+Q18)</f>
        <v>9.7001829798722142E-2</v>
      </c>
      <c r="R77" s="43">
        <f>-R19/(R14+R17+R18)</f>
        <v>0.15591954239265421</v>
      </c>
      <c r="S77" s="43">
        <f>-S19/(S14+S17+S18)</f>
        <v>-1.1487641487641487</v>
      </c>
      <c r="T77" s="43">
        <f>-T19/(T14+T17+T18)</f>
        <v>0.18358741485566007</v>
      </c>
      <c r="U77" s="43">
        <f>-U19/(U14+U17+U18)</f>
        <v>0.22928286654537139</v>
      </c>
      <c r="V77" s="43">
        <f>-V19/(V14+V17+V18)</f>
        <v>0.17317026049860229</v>
      </c>
      <c r="W77" s="43">
        <f>-W19/(W14+W17+W18)</f>
        <v>0.1963483234342101</v>
      </c>
      <c r="X77" s="2"/>
      <c r="Y77" s="30"/>
      <c r="Z77" s="27"/>
      <c r="AA77" s="27"/>
      <c r="AB77" s="27"/>
    </row>
    <row r="78" spans="3:28" x14ac:dyDescent="0.2">
      <c r="E78" s="43"/>
      <c r="F78" s="43"/>
      <c r="G78" s="43"/>
      <c r="H78" s="43"/>
      <c r="I78" s="43"/>
      <c r="J78" s="43"/>
      <c r="K78" s="43"/>
      <c r="L78" s="43"/>
      <c r="M78" s="43"/>
      <c r="N78" s="43"/>
      <c r="O78" s="43"/>
      <c r="P78" s="43"/>
      <c r="Q78" s="43"/>
      <c r="R78" s="2"/>
      <c r="S78" s="2"/>
      <c r="T78" s="30"/>
      <c r="U78" s="27"/>
      <c r="V78" s="43"/>
      <c r="W78" s="43"/>
      <c r="X78" s="2"/>
      <c r="Y78" s="30"/>
      <c r="Z78" s="27"/>
      <c r="AA78" s="27"/>
      <c r="AB78" s="27"/>
    </row>
    <row r="79" spans="3:28" x14ac:dyDescent="0.2">
      <c r="C79" s="1" t="s">
        <v>90</v>
      </c>
      <c r="E79" s="43"/>
      <c r="F79" s="46">
        <f>+F4/E4-1</f>
        <v>0.2705812273173529</v>
      </c>
      <c r="G79" s="46">
        <f>+G4/F4-1</f>
        <v>0.24465953881682911</v>
      </c>
      <c r="H79" s="43"/>
      <c r="I79" s="43"/>
      <c r="J79" s="43"/>
      <c r="K79" s="43"/>
      <c r="L79" s="46">
        <f>+L4/G4-1</f>
        <v>0.15942118704436914</v>
      </c>
      <c r="M79" s="43"/>
      <c r="N79" s="46"/>
      <c r="O79" s="46"/>
      <c r="P79" s="46"/>
      <c r="Q79" s="46">
        <f>+Q4/L4-1</f>
        <v>0.41311340044926115</v>
      </c>
      <c r="R79" s="46"/>
      <c r="S79" s="46"/>
      <c r="T79" s="46"/>
      <c r="U79" s="46"/>
      <c r="V79" s="46">
        <f>+V4/Q4-1</f>
        <v>0.2837980662795252</v>
      </c>
      <c r="W79" s="46">
        <f>+W4/R4-1</f>
        <v>3.3566515934428942E-2</v>
      </c>
      <c r="X79" s="2"/>
      <c r="Y79" s="30"/>
      <c r="Z79" s="27"/>
      <c r="AA79" s="27"/>
      <c r="AB79" s="27"/>
    </row>
    <row r="80" spans="3:28" x14ac:dyDescent="0.2">
      <c r="C80" s="1" t="s">
        <v>91</v>
      </c>
      <c r="E80" s="43"/>
      <c r="F80" s="43"/>
      <c r="G80" s="43"/>
      <c r="H80" s="43"/>
      <c r="I80" s="43"/>
      <c r="J80" s="43"/>
      <c r="K80" s="43"/>
      <c r="L80" s="43"/>
      <c r="M80" s="43"/>
      <c r="N80" s="43" t="e">
        <f>+N4/M4-1</f>
        <v>#DIV/0!</v>
      </c>
      <c r="O80" s="43" t="e">
        <f>+O4/N4-1</f>
        <v>#DIV/0!</v>
      </c>
      <c r="P80" s="43" t="e">
        <f>+P4/O4-1</f>
        <v>#DIV/0!</v>
      </c>
      <c r="Q80" s="43"/>
      <c r="R80" s="43"/>
      <c r="S80" s="43">
        <f>+S4/R4-1</f>
        <v>1.9841859178876264E-2</v>
      </c>
      <c r="T80" s="43">
        <f>+T4/S4-1</f>
        <v>2.6830735960082341E-2</v>
      </c>
      <c r="U80" s="43">
        <f>+U4/T4-1</f>
        <v>3.5723600560753077E-3</v>
      </c>
      <c r="V80" s="43"/>
      <c r="W80" s="43">
        <f>+W4/U4-1</f>
        <v>-1.6536953130139365E-2</v>
      </c>
      <c r="X80" s="2"/>
      <c r="Y80" s="30"/>
      <c r="Z80" s="27"/>
      <c r="AA80" s="27"/>
      <c r="AB80" s="27"/>
    </row>
    <row r="81" spans="3:28" x14ac:dyDescent="0.2">
      <c r="E81" s="43"/>
      <c r="F81" s="43"/>
      <c r="G81" s="43"/>
      <c r="H81" s="43"/>
      <c r="I81" s="43"/>
      <c r="J81" s="43"/>
      <c r="K81" s="43"/>
      <c r="L81" s="43"/>
      <c r="M81" s="43"/>
      <c r="N81" s="43"/>
      <c r="O81" s="43"/>
      <c r="P81" s="43"/>
      <c r="Q81" s="43"/>
      <c r="R81" s="43"/>
      <c r="S81" s="43"/>
      <c r="T81" s="43"/>
      <c r="U81" s="43"/>
      <c r="V81" s="43"/>
      <c r="W81" s="43"/>
      <c r="X81" s="2"/>
      <c r="Y81" s="30"/>
      <c r="Z81" s="27"/>
      <c r="AA81" s="27"/>
      <c r="AB81" s="27"/>
    </row>
    <row r="82" spans="3:28" x14ac:dyDescent="0.2">
      <c r="C82" s="22" t="s">
        <v>84</v>
      </c>
      <c r="D82" s="35"/>
      <c r="E82" s="35">
        <v>2017</v>
      </c>
      <c r="F82" s="35">
        <v>2018</v>
      </c>
      <c r="G82" s="35">
        <v>2019</v>
      </c>
      <c r="H82" s="12" t="s">
        <v>23</v>
      </c>
      <c r="I82" s="12" t="s">
        <v>24</v>
      </c>
      <c r="J82" s="12" t="s">
        <v>25</v>
      </c>
      <c r="K82" s="12" t="s">
        <v>27</v>
      </c>
      <c r="L82" s="35">
        <v>2020</v>
      </c>
      <c r="M82" s="12" t="s">
        <v>21</v>
      </c>
      <c r="N82" s="12" t="s">
        <v>22</v>
      </c>
      <c r="O82" s="12" t="s">
        <v>28</v>
      </c>
      <c r="P82" s="12" t="s">
        <v>26</v>
      </c>
      <c r="Q82" s="35">
        <v>2021</v>
      </c>
      <c r="R82" s="12" t="s">
        <v>30</v>
      </c>
      <c r="S82" s="12" t="s">
        <v>31</v>
      </c>
      <c r="T82" s="12" t="s">
        <v>32</v>
      </c>
      <c r="U82" s="12" t="s">
        <v>33</v>
      </c>
      <c r="V82" s="35">
        <v>2022</v>
      </c>
      <c r="W82" s="12" t="s">
        <v>34</v>
      </c>
      <c r="X82" s="12" t="s">
        <v>35</v>
      </c>
      <c r="Y82" s="12" t="s">
        <v>36</v>
      </c>
      <c r="Z82" s="12" t="s">
        <v>37</v>
      </c>
      <c r="AA82" s="35">
        <f>+V82+1</f>
        <v>2023</v>
      </c>
      <c r="AB82" s="35">
        <f>+AA82+1</f>
        <v>2024</v>
      </c>
    </row>
    <row r="83" spans="3:28" x14ac:dyDescent="0.2">
      <c r="C83" s="1" t="s">
        <v>85</v>
      </c>
      <c r="E83" s="43">
        <f>+E20/E104</f>
        <v>5.8196081442520572E-2</v>
      </c>
      <c r="F83" s="43">
        <f>+F20/F104</f>
        <v>0.14906049254188791</v>
      </c>
      <c r="G83" s="43">
        <f>+G20/G104</f>
        <v>0.11632477916485459</v>
      </c>
      <c r="H83" s="43" t="e">
        <f>+H20/H104</f>
        <v>#DIV/0!</v>
      </c>
      <c r="I83" s="43" t="e">
        <f>+I20/I104</f>
        <v>#DIV/0!</v>
      </c>
      <c r="J83" s="43" t="e">
        <f>+J20/J104</f>
        <v>#DIV/0!</v>
      </c>
      <c r="K83" s="43" t="e">
        <f>+K20/K104</f>
        <v>#DIV/0!</v>
      </c>
      <c r="L83" s="43">
        <f>+L20/L104</f>
        <v>0.12022053905954878</v>
      </c>
      <c r="M83" s="43" t="e">
        <f>+M20/M104</f>
        <v>#DIV/0!</v>
      </c>
      <c r="N83" s="43" t="e">
        <f>+N20/N104</f>
        <v>#DIV/0!</v>
      </c>
      <c r="O83" s="43" t="e">
        <f>+O20/O104</f>
        <v>#DIV/0!</v>
      </c>
      <c r="P83" s="43" t="e">
        <f>+P20/P104</f>
        <v>#DIV/0!</v>
      </c>
      <c r="Q83" s="43">
        <f>+Q20/Q104</f>
        <v>0.13670762627557068</v>
      </c>
      <c r="R83" s="43"/>
      <c r="S83" s="43"/>
      <c r="T83" s="43"/>
      <c r="U83" s="43"/>
      <c r="V83" s="43">
        <f>+V20/V104</f>
        <v>0.10461466779375483</v>
      </c>
      <c r="W83" s="2"/>
      <c r="X83" s="2"/>
      <c r="Y83" s="30"/>
      <c r="Z83" s="27"/>
      <c r="AA83" s="27"/>
      <c r="AB83" s="27"/>
    </row>
    <row r="84" spans="3:28" x14ac:dyDescent="0.2">
      <c r="C84" s="1" t="s">
        <v>86</v>
      </c>
      <c r="E84" s="43">
        <f>+E20/(E120+E121)</f>
        <v>7.4629697819471208E-2</v>
      </c>
      <c r="F84" s="43">
        <f>+F20/(F120+F121)</f>
        <v>0.19028731280631334</v>
      </c>
      <c r="G84" s="43">
        <f>+G20/(G120+G121)</f>
        <v>0.1635546895802073</v>
      </c>
      <c r="H84" s="43" t="e">
        <f>+H20/(H120+H121)</f>
        <v>#DIV/0!</v>
      </c>
      <c r="I84" s="43" t="e">
        <f>+I20/(I120+I121)</f>
        <v>#DIV/0!</v>
      </c>
      <c r="J84" s="43" t="e">
        <f>+J20/(J120+J121)</f>
        <v>#DIV/0!</v>
      </c>
      <c r="K84" s="43" t="e">
        <f>+K20/(K120+K121)</f>
        <v>#DIV/0!</v>
      </c>
      <c r="L84" s="43">
        <f>+L20/(L120+L121)</f>
        <v>0.16498085241788021</v>
      </c>
      <c r="M84" s="43" t="e">
        <f>+M20/(M120+M121)</f>
        <v>#DIV/0!</v>
      </c>
      <c r="N84" s="43" t="e">
        <f>+N20/(N120+N121)</f>
        <v>#DIV/0!</v>
      </c>
      <c r="O84" s="43" t="e">
        <f>+O20/(O120+O121)</f>
        <v>#DIV/0!</v>
      </c>
      <c r="P84" s="43" t="e">
        <f>+P20/(P120+P121)</f>
        <v>#DIV/0!</v>
      </c>
      <c r="Q84" s="43">
        <f>+Q20/(Q120+Q121)</f>
        <v>0.19298215388264539</v>
      </c>
      <c r="R84" s="43"/>
      <c r="S84" s="43"/>
      <c r="T84" s="43"/>
      <c r="U84" s="43"/>
      <c r="V84" s="43">
        <f>+V20/(V120+V121)</f>
        <v>0.139665202580078</v>
      </c>
      <c r="W84" s="2"/>
      <c r="X84" s="2"/>
      <c r="Y84" s="30"/>
      <c r="Z84" s="27"/>
      <c r="AA84" s="27"/>
      <c r="AB84" s="27"/>
    </row>
    <row r="85" spans="3:28" x14ac:dyDescent="0.2">
      <c r="C85" s="1" t="s">
        <v>87</v>
      </c>
      <c r="E85" s="43">
        <f>+(E14*0.75)/(E96+E98+E99+E100+E101+E90+E93-E106-E107-E108-E110-E115)</f>
        <v>0.38112861046631213</v>
      </c>
      <c r="F85" s="43">
        <f>+(F14*0.75)/(F96+F98+F99+F100+F101+F90+F93-F106-F107-F108-F110-F115)</f>
        <v>0.42858239008919352</v>
      </c>
      <c r="G85" s="43">
        <f>+(G14*0.75)/(G96+G98+G99+G100+G101+G90+G93-G106-G107-G108-G110-G115)</f>
        <v>0.32758389435973762</v>
      </c>
      <c r="H85" s="59"/>
      <c r="I85" s="59"/>
      <c r="J85" s="59"/>
      <c r="K85" s="59"/>
      <c r="L85" s="43">
        <f>+(L14*0.75)/(L96+L98+L99+L100+L101+L90+L93-L106-L107-L108-L110-L115)</f>
        <v>0.42983149284377165</v>
      </c>
      <c r="M85" s="59"/>
      <c r="N85" s="59"/>
      <c r="O85" s="59"/>
      <c r="P85" s="59"/>
      <c r="Q85" s="43">
        <f>+(Q14*0.75)/(Q96+Q98+Q99+Q100+Q101+Q90+Q93-Q106-Q107-Q108-Q110-Q115)</f>
        <v>0.34051871008143408</v>
      </c>
      <c r="R85" s="55"/>
      <c r="S85" s="55"/>
      <c r="T85" s="67"/>
      <c r="U85" s="68"/>
      <c r="V85" s="43">
        <f>+(V14*0.75)/(V96+V98+V99+V100+V101+V90+V93-V106-V107-V108-V110-V115)</f>
        <v>0.30381654401341607</v>
      </c>
      <c r="W85" s="2"/>
      <c r="X85" s="2"/>
      <c r="Y85" s="30"/>
      <c r="Z85" s="27"/>
      <c r="AA85" s="27"/>
      <c r="AB85" s="27"/>
    </row>
    <row r="86" spans="3:28" x14ac:dyDescent="0.2">
      <c r="C86" s="1" t="s">
        <v>88</v>
      </c>
      <c r="E86" s="43">
        <f>+(E14*0.75)/(E96+E98+E100+E101+E90+E93-E106-E107-E108-E110-E115)</f>
        <v>0.58745510622783614</v>
      </c>
      <c r="F86" s="43">
        <f>+(F14*0.75)/(F96+F98+F100+F101+F90+F93-F106-F107-F108-F110-F115)</f>
        <v>0.70019829511783749</v>
      </c>
      <c r="G86" s="43">
        <f>+(G14*0.75)/(G96+G98+G100+G101+G90+G93-G106-G107-G108-G110-G115)</f>
        <v>0.45579827784455651</v>
      </c>
      <c r="H86" s="43" t="e">
        <f>+(H14*0.75)/(H96+H98+H100+H101+H90+H93-H106-H107-H108-H110-H115)</f>
        <v>#DIV/0!</v>
      </c>
      <c r="I86" s="43" t="e">
        <f>+(I14*0.75)/(I96+I98+I100+I101+I90+I93-I106-I107-I108-I110-I115)</f>
        <v>#DIV/0!</v>
      </c>
      <c r="J86" s="43" t="e">
        <f>+(J14*0.75)/(J96+J98+J100+J101+J90+J93-J106-J107-J108-J110-J115)</f>
        <v>#DIV/0!</v>
      </c>
      <c r="K86" s="43" t="e">
        <f>+(K14*0.75)/(K96+K98+K100+K101+K90+K93-K106-K107-K108-K110-K115)</f>
        <v>#DIV/0!</v>
      </c>
      <c r="L86" s="43">
        <f>+(L14*0.75)/(L96+L98+L100+L101+L90+L93-L106-L107-L108-L110-L115)</f>
        <v>0.63232610604225248</v>
      </c>
      <c r="M86" s="43" t="e">
        <f>+(M14*0.75)/(M96+M98+M100+M101+M90+M93-M106-M107-M108-M110-M115)</f>
        <v>#DIV/0!</v>
      </c>
      <c r="N86" s="43" t="e">
        <f>+(N14*0.75)/(N96+N98+N100+N101+N90+N93-N106-N107-N108-N110-N115)</f>
        <v>#DIV/0!</v>
      </c>
      <c r="O86" s="43" t="e">
        <f>+(O14*0.75)/(O96+O98+O100+O101+O90+O93-O106-O107-O108-O110-O115)</f>
        <v>#DIV/0!</v>
      </c>
      <c r="P86" s="43" t="e">
        <f>+(P14*0.75)/(P96+P98+P100+P101+P90+P93-P106-P107-P108-P110-P115)</f>
        <v>#DIV/0!</v>
      </c>
      <c r="Q86" s="43">
        <f>+(Q14*0.75)/(Q96+Q98+Q100+Q101+Q90+Q93-Q106-Q107-Q108-Q110-Q115)</f>
        <v>0.61279567300448967</v>
      </c>
      <c r="R86" s="43"/>
      <c r="S86" s="43"/>
      <c r="T86" s="43"/>
      <c r="U86" s="43"/>
      <c r="V86" s="43">
        <f>+(V14*0.75)/(V96+V98+V100+V101+V90+V93-V106-V107-V108-V110-V115)</f>
        <v>0.48537299980007886</v>
      </c>
      <c r="W86" s="2"/>
      <c r="X86" s="2"/>
      <c r="Y86" s="30"/>
      <c r="Z86" s="27"/>
      <c r="AA86" s="27"/>
      <c r="AB86" s="27"/>
    </row>
    <row r="87" spans="3:28" x14ac:dyDescent="0.2">
      <c r="E87" s="2"/>
      <c r="F87" s="2"/>
      <c r="G87" s="2"/>
      <c r="H87" s="2"/>
      <c r="I87" s="2"/>
      <c r="J87" s="2"/>
      <c r="K87" s="2"/>
      <c r="L87" s="2"/>
      <c r="M87" s="2"/>
      <c r="N87" s="2"/>
      <c r="O87" s="2"/>
      <c r="P87" s="2"/>
      <c r="Q87" s="2"/>
      <c r="R87" s="2"/>
      <c r="S87" s="2"/>
      <c r="T87" s="30"/>
      <c r="U87" s="27"/>
      <c r="V87" s="27"/>
      <c r="W87" s="2"/>
      <c r="X87" s="2"/>
      <c r="Y87" s="30"/>
      <c r="Z87" s="27"/>
      <c r="AA87" s="27"/>
      <c r="AB87" s="27"/>
    </row>
    <row r="88" spans="3:28" x14ac:dyDescent="0.2">
      <c r="C88" s="35" t="s">
        <v>64</v>
      </c>
      <c r="D88" s="35"/>
      <c r="E88" s="35">
        <v>2017</v>
      </c>
      <c r="F88" s="35">
        <v>2018</v>
      </c>
      <c r="G88" s="35">
        <v>2019</v>
      </c>
      <c r="H88" s="12" t="s">
        <v>23</v>
      </c>
      <c r="I88" s="12" t="s">
        <v>24</v>
      </c>
      <c r="J88" s="12" t="s">
        <v>25</v>
      </c>
      <c r="K88" s="12" t="s">
        <v>27</v>
      </c>
      <c r="L88" s="35">
        <v>2020</v>
      </c>
      <c r="M88" s="12" t="s">
        <v>21</v>
      </c>
      <c r="N88" s="12" t="s">
        <v>22</v>
      </c>
      <c r="O88" s="12" t="s">
        <v>28</v>
      </c>
      <c r="P88" s="12" t="s">
        <v>26</v>
      </c>
      <c r="Q88" s="35">
        <v>2021</v>
      </c>
      <c r="R88" s="12" t="s">
        <v>30</v>
      </c>
      <c r="S88" s="12" t="s">
        <v>31</v>
      </c>
      <c r="T88" s="12" t="s">
        <v>32</v>
      </c>
      <c r="U88" s="12" t="s">
        <v>33</v>
      </c>
      <c r="V88" s="35">
        <v>2022</v>
      </c>
      <c r="W88" s="12" t="s">
        <v>34</v>
      </c>
      <c r="X88" s="12" t="s">
        <v>35</v>
      </c>
      <c r="Y88" s="12" t="s">
        <v>36</v>
      </c>
      <c r="Z88" s="12" t="s">
        <v>37</v>
      </c>
      <c r="AA88" s="35">
        <f>+V88+1</f>
        <v>2023</v>
      </c>
      <c r="AB88" s="35">
        <f>+AA88+1</f>
        <v>2024</v>
      </c>
    </row>
    <row r="89" spans="3:28" x14ac:dyDescent="0.2">
      <c r="C89" s="1" t="s">
        <v>47</v>
      </c>
      <c r="E89" s="2">
        <v>582585</v>
      </c>
      <c r="F89" s="2">
        <v>770560</v>
      </c>
      <c r="G89" s="2">
        <v>936552</v>
      </c>
      <c r="H89" s="2"/>
      <c r="I89" s="2"/>
      <c r="J89" s="2"/>
      <c r="K89" s="2"/>
      <c r="L89" s="2">
        <v>1322143</v>
      </c>
      <c r="M89" s="2"/>
      <c r="N89" s="2"/>
      <c r="O89" s="2"/>
      <c r="P89" s="2"/>
      <c r="Q89" s="2">
        <v>1446625</v>
      </c>
      <c r="R89" s="2">
        <v>1276461</v>
      </c>
      <c r="S89" s="2">
        <v>1293518</v>
      </c>
      <c r="T89" s="2">
        <v>1487599</v>
      </c>
      <c r="U89" s="2">
        <v>1681344</v>
      </c>
      <c r="V89" s="2">
        <v>1681344</v>
      </c>
      <c r="W89" s="2">
        <v>1749422</v>
      </c>
      <c r="X89" s="2"/>
      <c r="Y89" s="2"/>
      <c r="Z89" s="2"/>
      <c r="AA89" s="2"/>
      <c r="AB89" s="2"/>
    </row>
    <row r="90" spans="3:28" x14ac:dyDescent="0.2">
      <c r="C90" s="1" t="s">
        <v>102</v>
      </c>
      <c r="E90" s="2">
        <v>265639</v>
      </c>
      <c r="F90" s="2">
        <v>297685</v>
      </c>
      <c r="G90" s="2">
        <v>497716</v>
      </c>
      <c r="H90" s="2"/>
      <c r="I90" s="2"/>
      <c r="J90" s="2"/>
      <c r="K90" s="2"/>
      <c r="L90" s="2">
        <v>501062</v>
      </c>
      <c r="M90" s="2"/>
      <c r="N90" s="2"/>
      <c r="O90" s="2"/>
      <c r="P90" s="2"/>
      <c r="Q90" s="2">
        <v>768928</v>
      </c>
      <c r="R90" s="2">
        <v>901260</v>
      </c>
      <c r="S90" s="2">
        <v>929217</v>
      </c>
      <c r="T90" s="2">
        <v>917139</v>
      </c>
      <c r="U90" s="2">
        <v>932626</v>
      </c>
      <c r="V90" s="2">
        <v>932626</v>
      </c>
      <c r="W90" s="2">
        <v>934236</v>
      </c>
      <c r="X90" s="2"/>
      <c r="Y90" s="2"/>
      <c r="Z90" s="2"/>
      <c r="AA90" s="2"/>
      <c r="AB90" s="2"/>
    </row>
    <row r="91" spans="3:28" x14ac:dyDescent="0.2">
      <c r="C91" s="1" t="s">
        <v>103</v>
      </c>
      <c r="E91" s="2">
        <v>0</v>
      </c>
      <c r="F91" s="2">
        <v>0</v>
      </c>
      <c r="G91" s="2">
        <v>9</v>
      </c>
      <c r="H91" s="2"/>
      <c r="I91" s="2"/>
      <c r="J91" s="2"/>
      <c r="K91" s="2"/>
      <c r="L91" s="2">
        <v>60007</v>
      </c>
      <c r="M91" s="2"/>
      <c r="N91" s="2"/>
      <c r="O91" s="2"/>
      <c r="P91" s="2"/>
      <c r="Q91" s="2">
        <v>0</v>
      </c>
      <c r="R91" s="2">
        <v>0</v>
      </c>
      <c r="S91" s="2">
        <v>60098</v>
      </c>
      <c r="T91" s="2">
        <v>60216</v>
      </c>
      <c r="U91" s="2">
        <v>60336</v>
      </c>
      <c r="V91" s="2">
        <v>60336</v>
      </c>
      <c r="W91" s="2">
        <v>60373</v>
      </c>
      <c r="X91" s="2"/>
      <c r="Y91" s="2"/>
      <c r="Z91" s="2"/>
      <c r="AA91" s="2"/>
      <c r="AB91" s="2"/>
    </row>
    <row r="92" spans="3:28" x14ac:dyDescent="0.2">
      <c r="C92" s="1" t="s">
        <v>181</v>
      </c>
      <c r="E92" s="2">
        <v>86500</v>
      </c>
      <c r="F92" s="2">
        <v>104652</v>
      </c>
      <c r="G92" s="2">
        <v>0</v>
      </c>
      <c r="H92" s="2"/>
      <c r="I92" s="2"/>
      <c r="J92" s="2"/>
      <c r="K92" s="2"/>
      <c r="L92" s="2">
        <v>0</v>
      </c>
      <c r="M92" s="2"/>
      <c r="N92" s="2"/>
      <c r="O92" s="2"/>
      <c r="P92" s="2"/>
      <c r="Q92" s="2">
        <v>0</v>
      </c>
      <c r="R92" s="2"/>
      <c r="S92" s="2"/>
      <c r="T92" s="2"/>
      <c r="U92" s="2"/>
      <c r="V92" s="2">
        <v>0</v>
      </c>
      <c r="W92" s="2"/>
      <c r="X92" s="2"/>
      <c r="Y92" s="2"/>
      <c r="Z92" s="2"/>
      <c r="AA92" s="2"/>
      <c r="AB92" s="2"/>
    </row>
    <row r="93" spans="3:28" x14ac:dyDescent="0.2">
      <c r="C93" s="1" t="s">
        <v>104</v>
      </c>
      <c r="E93" s="2">
        <v>25309</v>
      </c>
      <c r="F93" s="2">
        <v>26171</v>
      </c>
      <c r="G93" s="2">
        <v>39934</v>
      </c>
      <c r="H93" s="2"/>
      <c r="I93" s="2"/>
      <c r="J93" s="2"/>
      <c r="K93" s="2"/>
      <c r="L93" s="2">
        <v>29570</v>
      </c>
      <c r="M93" s="2"/>
      <c r="N93" s="2"/>
      <c r="O93" s="2"/>
      <c r="P93" s="2"/>
      <c r="Q93" s="2">
        <v>53927</v>
      </c>
      <c r="R93" s="2">
        <v>89032</v>
      </c>
      <c r="S93" s="2">
        <v>76845</v>
      </c>
      <c r="T93" s="2">
        <v>63032</v>
      </c>
      <c r="U93" s="2">
        <v>85319</v>
      </c>
      <c r="V93" s="2">
        <v>85319</v>
      </c>
      <c r="W93" s="2">
        <v>86758</v>
      </c>
      <c r="X93" s="2"/>
      <c r="Y93" s="2"/>
      <c r="Z93" s="2"/>
      <c r="AA93" s="2"/>
      <c r="AB93" s="2"/>
    </row>
    <row r="94" spans="3:28" x14ac:dyDescent="0.2">
      <c r="C94" s="4" t="s">
        <v>6</v>
      </c>
      <c r="D94" s="4"/>
      <c r="E94" s="6">
        <f>SUM(E89:E93)</f>
        <v>960033</v>
      </c>
      <c r="F94" s="6">
        <f>SUM(F89:F93)</f>
        <v>1199068</v>
      </c>
      <c r="G94" s="6">
        <f>SUM(G89:G93)</f>
        <v>1474211</v>
      </c>
      <c r="H94" s="6">
        <f>SUM(H89:H93)</f>
        <v>0</v>
      </c>
      <c r="I94" s="6">
        <f>SUM(I89:I93)</f>
        <v>0</v>
      </c>
      <c r="J94" s="6">
        <f>SUM(J89:J93)</f>
        <v>0</v>
      </c>
      <c r="K94" s="6">
        <f>SUM(K89:K93)</f>
        <v>0</v>
      </c>
      <c r="L94" s="6">
        <f>SUM(L89:L93)</f>
        <v>1912782</v>
      </c>
      <c r="M94" s="6">
        <f>SUM(M89:M93)</f>
        <v>0</v>
      </c>
      <c r="N94" s="6">
        <f>SUM(N89:N93)</f>
        <v>0</v>
      </c>
      <c r="O94" s="6">
        <f>SUM(O89:O93)</f>
        <v>0</v>
      </c>
      <c r="P94" s="6">
        <f>SUM(P89:P93)</f>
        <v>0</v>
      </c>
      <c r="Q94" s="6">
        <f>SUM(Q89:Q93)</f>
        <v>2269480</v>
      </c>
      <c r="R94" s="6">
        <f>SUM(R89:R93)</f>
        <v>2266753</v>
      </c>
      <c r="S94" s="6">
        <f>SUM(S89:S93)</f>
        <v>2359678</v>
      </c>
      <c r="T94" s="6">
        <f>SUM(T89:T93)</f>
        <v>2527986</v>
      </c>
      <c r="U94" s="6">
        <f>SUM(U89:U93)</f>
        <v>2759625</v>
      </c>
      <c r="V94" s="6">
        <f>SUM(V89:V93)</f>
        <v>2759625</v>
      </c>
      <c r="W94" s="6">
        <f>SUM(W89:W93)</f>
        <v>2830789</v>
      </c>
      <c r="X94" s="6">
        <f>SUM(X89:X93)</f>
        <v>0</v>
      </c>
      <c r="Y94" s="6">
        <f>SUM(Y89:Y93)</f>
        <v>0</v>
      </c>
      <c r="Z94" s="6">
        <f>SUM(Z89:Z93)</f>
        <v>0</v>
      </c>
      <c r="AA94" s="6">
        <f>SUM(AA89:AA93)</f>
        <v>0</v>
      </c>
      <c r="AB94" s="6">
        <f>SUM(AB89:AB93)</f>
        <v>0</v>
      </c>
    </row>
    <row r="95" spans="3:28" x14ac:dyDescent="0.2">
      <c r="G95" s="2"/>
      <c r="H95" s="2"/>
      <c r="I95" s="2"/>
      <c r="J95" s="2"/>
      <c r="K95" s="2"/>
      <c r="L95" s="2"/>
      <c r="M95" s="2"/>
      <c r="N95" s="2"/>
      <c r="O95" s="2"/>
      <c r="P95" s="2"/>
      <c r="Q95" s="2"/>
      <c r="R95" s="2"/>
      <c r="S95" s="2"/>
      <c r="T95" s="2"/>
      <c r="U95" s="2"/>
      <c r="V95" s="2"/>
      <c r="W95" s="2"/>
      <c r="X95" s="2"/>
      <c r="Y95" s="2"/>
      <c r="Z95" s="2"/>
      <c r="AA95" s="2"/>
      <c r="AB95" s="2"/>
    </row>
    <row r="96" spans="3:28" x14ac:dyDescent="0.2">
      <c r="C96" s="1" t="s">
        <v>63</v>
      </c>
      <c r="E96" s="2">
        <v>86419</v>
      </c>
      <c r="F96" s="2">
        <v>102646</v>
      </c>
      <c r="G96" s="2">
        <v>165259</v>
      </c>
      <c r="H96" s="2"/>
      <c r="I96" s="2"/>
      <c r="J96" s="2"/>
      <c r="K96" s="2"/>
      <c r="L96" s="2">
        <v>169533</v>
      </c>
      <c r="M96" s="2"/>
      <c r="N96" s="2"/>
      <c r="O96" s="2"/>
      <c r="P96" s="2"/>
      <c r="Q96" s="2">
        <v>236214</v>
      </c>
      <c r="R96" s="2">
        <v>219639</v>
      </c>
      <c r="S96" s="2">
        <v>211119</v>
      </c>
      <c r="T96" s="2">
        <v>209700</v>
      </c>
      <c r="U96" s="2">
        <v>273348</v>
      </c>
      <c r="V96" s="2">
        <v>273348</v>
      </c>
      <c r="W96" s="2">
        <v>267067</v>
      </c>
      <c r="X96" s="2"/>
      <c r="Y96" s="2"/>
      <c r="Z96" s="2"/>
      <c r="AA96" s="2"/>
      <c r="AB96" s="2"/>
    </row>
    <row r="97" spans="3:28" x14ac:dyDescent="0.2">
      <c r="C97" s="1" t="s">
        <v>105</v>
      </c>
      <c r="E97" s="2">
        <v>0</v>
      </c>
      <c r="F97" s="2">
        <v>0</v>
      </c>
      <c r="G97" s="2">
        <v>238991</v>
      </c>
      <c r="H97" s="2"/>
      <c r="I97" s="2"/>
      <c r="J97" s="2"/>
      <c r="K97" s="2"/>
      <c r="L97" s="2">
        <v>228672</v>
      </c>
      <c r="M97" s="2"/>
      <c r="N97" s="2"/>
      <c r="O97" s="2"/>
      <c r="P97" s="2"/>
      <c r="Q97" s="2">
        <v>184841</v>
      </c>
      <c r="R97" s="2">
        <v>175514</v>
      </c>
      <c r="S97" s="2">
        <v>159726</v>
      </c>
      <c r="T97" s="2">
        <v>148219</v>
      </c>
      <c r="U97" s="2">
        <v>148780</v>
      </c>
      <c r="V97" s="2">
        <v>148780</v>
      </c>
      <c r="W97" s="2">
        <v>146815</v>
      </c>
      <c r="X97" s="2"/>
      <c r="Y97" s="2"/>
      <c r="Z97" s="2"/>
      <c r="AA97" s="2"/>
      <c r="AB97" s="2"/>
    </row>
    <row r="98" spans="3:28" x14ac:dyDescent="0.2">
      <c r="C98" s="1" t="s">
        <v>61</v>
      </c>
      <c r="E98" s="2">
        <v>44511</v>
      </c>
      <c r="F98" s="2">
        <v>57065</v>
      </c>
      <c r="G98" s="2">
        <v>56258</v>
      </c>
      <c r="H98" s="2"/>
      <c r="I98" s="2"/>
      <c r="J98" s="2"/>
      <c r="K98" s="2"/>
      <c r="L98" s="2">
        <v>51975</v>
      </c>
      <c r="M98" s="2"/>
      <c r="N98" s="2"/>
      <c r="O98" s="2"/>
      <c r="P98" s="2"/>
      <c r="Q98" s="2">
        <v>101143</v>
      </c>
      <c r="R98" s="2">
        <v>97569</v>
      </c>
      <c r="S98" s="2">
        <v>89032</v>
      </c>
      <c r="T98" s="2">
        <v>79220</v>
      </c>
      <c r="U98" s="2">
        <v>77652</v>
      </c>
      <c r="V98" s="2">
        <v>77652</v>
      </c>
      <c r="W98" s="2">
        <v>73113</v>
      </c>
      <c r="X98" s="2"/>
      <c r="Y98" s="2"/>
      <c r="Z98" s="2"/>
      <c r="AA98" s="2"/>
      <c r="AB98" s="2"/>
    </row>
    <row r="99" spans="3:28" x14ac:dyDescent="0.2">
      <c r="C99" s="1" t="s">
        <v>62</v>
      </c>
      <c r="E99" s="2">
        <v>119531</v>
      </c>
      <c r="F99" s="2">
        <v>166832</v>
      </c>
      <c r="G99" s="2">
        <v>195043</v>
      </c>
      <c r="H99" s="2"/>
      <c r="I99" s="2"/>
      <c r="J99" s="2"/>
      <c r="K99" s="2"/>
      <c r="L99" s="2">
        <v>211956</v>
      </c>
      <c r="M99" s="2"/>
      <c r="N99" s="2"/>
      <c r="O99" s="2"/>
      <c r="P99" s="2"/>
      <c r="Q99" s="2">
        <v>530723</v>
      </c>
      <c r="R99" s="2">
        <v>534136</v>
      </c>
      <c r="S99" s="2">
        <v>521267</v>
      </c>
      <c r="T99" s="2">
        <v>505542</v>
      </c>
      <c r="U99" s="2">
        <v>529072</v>
      </c>
      <c r="V99" s="2">
        <v>529072</v>
      </c>
      <c r="W99" s="2">
        <v>533730</v>
      </c>
      <c r="X99" s="2"/>
      <c r="Y99" s="2"/>
      <c r="Z99" s="2"/>
      <c r="AA99" s="2"/>
      <c r="AB99" s="2"/>
    </row>
    <row r="100" spans="3:28" x14ac:dyDescent="0.2">
      <c r="C100" s="1" t="s">
        <v>48</v>
      </c>
      <c r="E100" s="2">
        <v>24974</v>
      </c>
      <c r="F100" s="2">
        <v>69983</v>
      </c>
      <c r="G100" s="2">
        <v>75013</v>
      </c>
      <c r="H100" s="2"/>
      <c r="I100" s="2"/>
      <c r="J100" s="2"/>
      <c r="K100" s="2"/>
      <c r="L100" s="2">
        <v>92454</v>
      </c>
      <c r="M100" s="2"/>
      <c r="N100" s="2"/>
      <c r="O100" s="2"/>
      <c r="P100" s="2"/>
      <c r="Q100" s="2">
        <v>143928</v>
      </c>
      <c r="R100" s="2">
        <v>161302</v>
      </c>
      <c r="S100" s="2">
        <v>172807</v>
      </c>
      <c r="T100" s="2">
        <v>214219</v>
      </c>
      <c r="U100" s="2">
        <v>172797</v>
      </c>
      <c r="V100" s="2">
        <v>172797</v>
      </c>
      <c r="W100" s="2">
        <v>167654</v>
      </c>
      <c r="X100" s="2"/>
      <c r="Y100" s="2"/>
      <c r="Z100" s="2"/>
      <c r="AA100" s="2"/>
      <c r="AB100" s="2"/>
    </row>
    <row r="101" spans="3:28" x14ac:dyDescent="0.2">
      <c r="C101" s="1" t="s">
        <v>106</v>
      </c>
      <c r="E101" s="2">
        <v>14788</v>
      </c>
      <c r="F101" s="2">
        <v>16208</v>
      </c>
      <c r="G101" s="2">
        <v>39433</v>
      </c>
      <c r="H101" s="2"/>
      <c r="I101" s="2"/>
      <c r="J101" s="2"/>
      <c r="K101" s="2"/>
      <c r="L101" s="2">
        <v>53960</v>
      </c>
      <c r="M101" s="2"/>
      <c r="N101" s="2"/>
      <c r="O101" s="2"/>
      <c r="P101" s="2"/>
      <c r="Q101" s="2">
        <v>56898</v>
      </c>
      <c r="R101" s="2">
        <v>52657</v>
      </c>
      <c r="S101" s="2">
        <v>50335</v>
      </c>
      <c r="T101" s="2">
        <v>50717</v>
      </c>
      <c r="U101" s="2">
        <v>47877</v>
      </c>
      <c r="V101" s="2">
        <v>47877</v>
      </c>
      <c r="W101" s="2">
        <v>52177</v>
      </c>
      <c r="X101" s="2"/>
      <c r="Y101" s="2"/>
      <c r="Z101" s="2"/>
      <c r="AA101" s="2"/>
      <c r="AB101" s="2"/>
    </row>
    <row r="102" spans="3:28" x14ac:dyDescent="0.2">
      <c r="C102" s="4" t="s">
        <v>7</v>
      </c>
      <c r="D102" s="4"/>
      <c r="E102" s="6">
        <f>SUM(E96:E101)</f>
        <v>290223</v>
      </c>
      <c r="F102" s="6">
        <f>SUM(F96:F101)</f>
        <v>412734</v>
      </c>
      <c r="G102" s="6">
        <f>SUM(G96:G101)</f>
        <v>769997</v>
      </c>
      <c r="H102" s="6">
        <f>SUM(H96:H101)</f>
        <v>0</v>
      </c>
      <c r="I102" s="6">
        <f>SUM(I96:I101)</f>
        <v>0</v>
      </c>
      <c r="J102" s="6">
        <f>SUM(J96:J101)</f>
        <v>0</v>
      </c>
      <c r="K102" s="6">
        <f>SUM(K96:K101)</f>
        <v>0</v>
      </c>
      <c r="L102" s="6">
        <f>SUM(L96:L101)</f>
        <v>808550</v>
      </c>
      <c r="M102" s="6">
        <f>SUM(M96:M101)</f>
        <v>0</v>
      </c>
      <c r="N102" s="6">
        <f>SUM(N96:N101)</f>
        <v>0</v>
      </c>
      <c r="O102" s="6">
        <f>SUM(O96:O101)</f>
        <v>0</v>
      </c>
      <c r="P102" s="6">
        <f>SUM(P96:P101)</f>
        <v>0</v>
      </c>
      <c r="Q102" s="6">
        <f>SUM(Q96:Q101)</f>
        <v>1253747</v>
      </c>
      <c r="R102" s="6">
        <f>SUM(R96:R101)</f>
        <v>1240817</v>
      </c>
      <c r="S102" s="6">
        <f>SUM(S96:S101)</f>
        <v>1204286</v>
      </c>
      <c r="T102" s="6">
        <f>SUM(T96:T101)</f>
        <v>1207617</v>
      </c>
      <c r="U102" s="6">
        <f>SUM(U96:U101)</f>
        <v>1249526</v>
      </c>
      <c r="V102" s="6">
        <f>SUM(V96:V101)</f>
        <v>1249526</v>
      </c>
      <c r="W102" s="6">
        <f>SUM(W96:W101)</f>
        <v>1240556</v>
      </c>
      <c r="X102" s="6">
        <f>SUM(X96:X101)</f>
        <v>0</v>
      </c>
      <c r="Y102" s="6">
        <f>SUM(Y96:Y101)</f>
        <v>0</v>
      </c>
      <c r="Z102" s="6">
        <f>SUM(Z96:Z101)</f>
        <v>0</v>
      </c>
      <c r="AA102" s="6">
        <f>SUM(AA96:AA101)</f>
        <v>0</v>
      </c>
      <c r="AB102" s="6">
        <f>SUM(AB96:AB101)</f>
        <v>0</v>
      </c>
    </row>
    <row r="103" spans="3:28" x14ac:dyDescent="0.2">
      <c r="G103" s="2"/>
      <c r="H103" s="2"/>
      <c r="I103" s="2"/>
      <c r="J103" s="2"/>
      <c r="K103" s="2"/>
      <c r="L103" s="2"/>
      <c r="M103" s="2"/>
      <c r="N103" s="2"/>
      <c r="O103" s="2"/>
      <c r="P103" s="2"/>
      <c r="Q103" s="2"/>
      <c r="R103" s="2"/>
      <c r="S103" s="2"/>
      <c r="T103" s="2"/>
      <c r="U103" s="2"/>
      <c r="V103" s="2"/>
      <c r="W103" s="2"/>
      <c r="X103" s="2"/>
      <c r="Y103" s="2"/>
      <c r="Z103" s="2"/>
      <c r="AA103" s="2"/>
      <c r="AB103" s="2"/>
    </row>
    <row r="104" spans="3:28" x14ac:dyDescent="0.2">
      <c r="C104" s="10" t="s">
        <v>8</v>
      </c>
      <c r="D104" s="10"/>
      <c r="E104" s="11">
        <f>+E102+E94</f>
        <v>1250256</v>
      </c>
      <c r="F104" s="11">
        <f>+F102+F94</f>
        <v>1611802</v>
      </c>
      <c r="G104" s="11">
        <f>+G102+G94</f>
        <v>2244208</v>
      </c>
      <c r="H104" s="11">
        <f>+H102+H94</f>
        <v>0</v>
      </c>
      <c r="I104" s="11">
        <f>+I102+I94</f>
        <v>0</v>
      </c>
      <c r="J104" s="11">
        <f>+J102+J94</f>
        <v>0</v>
      </c>
      <c r="K104" s="11">
        <f>+K102+K94</f>
        <v>0</v>
      </c>
      <c r="L104" s="11">
        <f>+L102+L94</f>
        <v>2721332</v>
      </c>
      <c r="M104" s="11">
        <f>+M102+M94</f>
        <v>0</v>
      </c>
      <c r="N104" s="11">
        <f>+N102+N94</f>
        <v>0</v>
      </c>
      <c r="O104" s="11">
        <f>+O102+O94</f>
        <v>0</v>
      </c>
      <c r="P104" s="11">
        <f>+P102+P94</f>
        <v>0</v>
      </c>
      <c r="Q104" s="11">
        <f>+Q102+Q94</f>
        <v>3523227</v>
      </c>
      <c r="R104" s="11">
        <f>+R102+R94</f>
        <v>3507570</v>
      </c>
      <c r="S104" s="11">
        <f>+S102+S94</f>
        <v>3563964</v>
      </c>
      <c r="T104" s="11">
        <f>+T102+T94</f>
        <v>3735603</v>
      </c>
      <c r="U104" s="11">
        <f>+U102+U94</f>
        <v>4009151</v>
      </c>
      <c r="V104" s="11">
        <f>+V102+V94</f>
        <v>4009151</v>
      </c>
      <c r="W104" s="11">
        <f>+W102+W94</f>
        <v>4071345</v>
      </c>
      <c r="X104" s="11"/>
      <c r="Y104" s="11"/>
      <c r="Z104" s="11"/>
      <c r="AA104" s="11">
        <f>+AA102+AA94</f>
        <v>0</v>
      </c>
      <c r="AB104" s="11">
        <f>+AB102+AB94</f>
        <v>0</v>
      </c>
    </row>
    <row r="105" spans="3:28" x14ac:dyDescent="0.2">
      <c r="G105" s="2"/>
      <c r="H105" s="2"/>
      <c r="I105" s="2"/>
      <c r="J105" s="2"/>
      <c r="K105" s="2"/>
      <c r="L105" s="2"/>
      <c r="M105" s="2"/>
      <c r="N105" s="2"/>
      <c r="O105" s="2"/>
      <c r="P105" s="2"/>
      <c r="Q105" s="2"/>
      <c r="R105" s="2"/>
      <c r="S105" s="2"/>
      <c r="T105" s="2"/>
      <c r="U105" s="2"/>
      <c r="V105" s="2"/>
      <c r="W105" s="2"/>
      <c r="X105" s="2"/>
      <c r="Y105" s="2"/>
      <c r="Z105" s="2"/>
      <c r="AA105" s="2"/>
      <c r="AB105" s="2"/>
    </row>
    <row r="106" spans="3:28" x14ac:dyDescent="0.2">
      <c r="C106" s="1" t="s">
        <v>107</v>
      </c>
      <c r="E106" s="2">
        <v>5574</v>
      </c>
      <c r="F106" s="2">
        <v>7444</v>
      </c>
      <c r="G106" s="2">
        <v>7831</v>
      </c>
      <c r="H106" s="2"/>
      <c r="I106" s="2"/>
      <c r="J106" s="2"/>
      <c r="K106" s="2"/>
      <c r="L106" s="2">
        <v>10189</v>
      </c>
      <c r="M106" s="2"/>
      <c r="N106" s="2"/>
      <c r="O106" s="2"/>
      <c r="P106" s="2"/>
      <c r="Q106" s="2">
        <v>24847</v>
      </c>
      <c r="R106" s="2">
        <v>19406</v>
      </c>
      <c r="S106" s="2">
        <v>22488</v>
      </c>
      <c r="T106" s="2">
        <v>28288</v>
      </c>
      <c r="U106" s="2">
        <v>30852</v>
      </c>
      <c r="V106" s="2">
        <v>30852</v>
      </c>
      <c r="W106" s="2">
        <v>28857</v>
      </c>
      <c r="X106" s="2"/>
      <c r="Y106" s="2"/>
      <c r="Z106" s="2"/>
      <c r="AA106" s="2"/>
      <c r="AB106" s="2"/>
    </row>
    <row r="107" spans="3:28" x14ac:dyDescent="0.2">
      <c r="C107" s="1" t="s">
        <v>108</v>
      </c>
      <c r="E107" s="2">
        <f>38757+5964</f>
        <v>44721</v>
      </c>
      <c r="F107" s="2">
        <f>49683+9920</f>
        <v>59603</v>
      </c>
      <c r="G107" s="2">
        <v>230035</v>
      </c>
      <c r="H107" s="2"/>
      <c r="I107" s="2"/>
      <c r="J107" s="2"/>
      <c r="K107" s="2"/>
      <c r="L107" s="2">
        <v>294709</v>
      </c>
      <c r="M107" s="2"/>
      <c r="N107" s="2"/>
      <c r="O107" s="2"/>
      <c r="P107" s="2"/>
      <c r="Q107" s="2">
        <v>502997</v>
      </c>
      <c r="R107" s="2">
        <v>408789</v>
      </c>
      <c r="S107" s="2">
        <v>414674</v>
      </c>
      <c r="T107" s="2">
        <v>456965</v>
      </c>
      <c r="U107" s="2">
        <v>475871</v>
      </c>
      <c r="V107" s="2">
        <v>475871</v>
      </c>
      <c r="W107" s="2">
        <v>444728</v>
      </c>
      <c r="X107" s="2"/>
      <c r="Y107" s="2"/>
      <c r="Z107" s="2"/>
      <c r="AA107" s="2"/>
      <c r="AB107" s="2"/>
    </row>
    <row r="108" spans="3:28" x14ac:dyDescent="0.2">
      <c r="C108" s="1" t="s">
        <v>109</v>
      </c>
      <c r="E108" s="2">
        <v>89812</v>
      </c>
      <c r="F108" s="2">
        <v>127937</v>
      </c>
      <c r="G108" s="2">
        <v>82476</v>
      </c>
      <c r="H108" s="2"/>
      <c r="I108" s="2"/>
      <c r="J108" s="2"/>
      <c r="K108" s="2"/>
      <c r="L108" s="2">
        <v>79690</v>
      </c>
      <c r="M108" s="2"/>
      <c r="N108" s="2"/>
      <c r="O108" s="2"/>
      <c r="P108" s="2"/>
      <c r="Q108" s="2">
        <v>142014</v>
      </c>
      <c r="R108" s="2">
        <v>177872</v>
      </c>
      <c r="S108" s="2">
        <v>181525</v>
      </c>
      <c r="T108" s="2">
        <v>161922</v>
      </c>
      <c r="U108" s="2">
        <v>151478</v>
      </c>
      <c r="V108" s="2">
        <v>151478</v>
      </c>
      <c r="W108" s="2">
        <v>130902</v>
      </c>
      <c r="X108" s="2"/>
      <c r="Y108" s="2"/>
      <c r="Z108" s="2"/>
      <c r="AA108" s="2"/>
      <c r="AB108" s="2"/>
    </row>
    <row r="109" spans="3:28" x14ac:dyDescent="0.2">
      <c r="C109" s="1" t="s">
        <v>152</v>
      </c>
      <c r="E109" s="2">
        <v>0</v>
      </c>
      <c r="F109" s="2">
        <v>0</v>
      </c>
      <c r="G109" s="2">
        <v>0</v>
      </c>
      <c r="H109" s="2"/>
      <c r="I109" s="2"/>
      <c r="J109" s="2"/>
      <c r="K109" s="2"/>
      <c r="L109" s="2">
        <v>0</v>
      </c>
      <c r="M109" s="2"/>
      <c r="N109" s="2"/>
      <c r="O109" s="2"/>
      <c r="P109" s="2"/>
      <c r="Q109" s="2">
        <v>16018</v>
      </c>
      <c r="R109" s="2">
        <v>9900</v>
      </c>
      <c r="S109" s="2">
        <v>6701</v>
      </c>
      <c r="T109" s="2">
        <v>7790</v>
      </c>
      <c r="U109" s="2">
        <v>2861</v>
      </c>
      <c r="V109" s="2">
        <v>2861</v>
      </c>
      <c r="W109" s="2">
        <v>0</v>
      </c>
      <c r="X109" s="2"/>
      <c r="Y109" s="2"/>
      <c r="Z109" s="2"/>
      <c r="AA109" s="2"/>
      <c r="AB109" s="2"/>
    </row>
    <row r="110" spans="3:28" x14ac:dyDescent="0.2">
      <c r="C110" s="1" t="s">
        <v>110</v>
      </c>
      <c r="E110" s="2">
        <v>40860</v>
      </c>
      <c r="F110" s="2">
        <v>67845</v>
      </c>
      <c r="G110" s="2">
        <v>9064</v>
      </c>
      <c r="H110" s="2"/>
      <c r="I110" s="2"/>
      <c r="J110" s="2"/>
      <c r="K110" s="2"/>
      <c r="L110" s="2">
        <v>20603</v>
      </c>
      <c r="M110" s="2"/>
      <c r="N110" s="2"/>
      <c r="O110" s="2"/>
      <c r="P110" s="2"/>
      <c r="Q110" s="2">
        <v>27440</v>
      </c>
      <c r="R110" s="2">
        <v>20264</v>
      </c>
      <c r="S110" s="2">
        <v>18190</v>
      </c>
      <c r="T110" s="2">
        <v>34390</v>
      </c>
      <c r="U110" s="2">
        <v>46069</v>
      </c>
      <c r="V110" s="2">
        <v>46069</v>
      </c>
      <c r="W110" s="2">
        <v>37439</v>
      </c>
      <c r="X110" s="2"/>
      <c r="Y110" s="2"/>
      <c r="Z110" s="2"/>
      <c r="AA110" s="2"/>
      <c r="AB110" s="2"/>
    </row>
    <row r="111" spans="3:28" x14ac:dyDescent="0.2">
      <c r="C111" s="1" t="s">
        <v>111</v>
      </c>
      <c r="E111" s="2">
        <v>0</v>
      </c>
      <c r="F111" s="2">
        <v>0</v>
      </c>
      <c r="G111" s="2">
        <v>57542</v>
      </c>
      <c r="H111" s="2"/>
      <c r="I111" s="2"/>
      <c r="J111" s="2"/>
      <c r="K111" s="2"/>
      <c r="L111" s="2">
        <v>60759</v>
      </c>
      <c r="M111" s="2"/>
      <c r="N111" s="2"/>
      <c r="O111" s="2"/>
      <c r="P111" s="2"/>
      <c r="Q111" s="2">
        <v>50104</v>
      </c>
      <c r="R111" s="2">
        <v>47021</v>
      </c>
      <c r="S111" s="2">
        <v>41125</v>
      </c>
      <c r="T111" s="2">
        <v>38602</v>
      </c>
      <c r="U111" s="2">
        <v>40352</v>
      </c>
      <c r="V111" s="2">
        <v>40352</v>
      </c>
      <c r="W111" s="2">
        <v>40932</v>
      </c>
      <c r="X111" s="2"/>
      <c r="Y111" s="2"/>
      <c r="Z111" s="2"/>
      <c r="AA111" s="2"/>
      <c r="AB111" s="2"/>
    </row>
    <row r="112" spans="3:28" x14ac:dyDescent="0.2">
      <c r="C112" s="4" t="s">
        <v>9</v>
      </c>
      <c r="D112" s="4"/>
      <c r="E112" s="6">
        <f>+SUM(E106:E111)</f>
        <v>180967</v>
      </c>
      <c r="F112" s="6">
        <f>+SUM(F106:F111)</f>
        <v>262829</v>
      </c>
      <c r="G112" s="6">
        <f>+SUM(G106:G111)</f>
        <v>386948</v>
      </c>
      <c r="H112" s="6">
        <f>+SUM(H106:H111)</f>
        <v>0</v>
      </c>
      <c r="I112" s="6">
        <f>+SUM(I106:I111)</f>
        <v>0</v>
      </c>
      <c r="J112" s="6">
        <f>+SUM(J106:J111)</f>
        <v>0</v>
      </c>
      <c r="K112" s="6">
        <f>+SUM(K106:K111)</f>
        <v>0</v>
      </c>
      <c r="L112" s="6">
        <f>+SUM(L106:L111)</f>
        <v>465950</v>
      </c>
      <c r="M112" s="6">
        <f>+SUM(M106:M111)</f>
        <v>0</v>
      </c>
      <c r="N112" s="6">
        <f>+SUM(N106:N111)</f>
        <v>0</v>
      </c>
      <c r="O112" s="6">
        <f>+SUM(O106:O111)</f>
        <v>0</v>
      </c>
      <c r="P112" s="6">
        <f>+SUM(P106:P111)</f>
        <v>0</v>
      </c>
      <c r="Q112" s="6">
        <f>+SUM(Q106:Q111)</f>
        <v>763420</v>
      </c>
      <c r="R112" s="6">
        <f>+SUM(R106:R111)</f>
        <v>683252</v>
      </c>
      <c r="S112" s="6">
        <f>+SUM(S106:S111)</f>
        <v>684703</v>
      </c>
      <c r="T112" s="6">
        <f>+SUM(T106:T111)</f>
        <v>727957</v>
      </c>
      <c r="U112" s="6">
        <f>+SUM(U106:U111)</f>
        <v>747483</v>
      </c>
      <c r="V112" s="6">
        <f>+SUM(V106:V111)</f>
        <v>747483</v>
      </c>
      <c r="W112" s="6">
        <f>+SUM(W106:W111)</f>
        <v>682858</v>
      </c>
      <c r="X112" s="6">
        <f>+SUM(X106:X111)</f>
        <v>0</v>
      </c>
      <c r="Y112" s="6">
        <f>+SUM(Y106:Y111)</f>
        <v>0</v>
      </c>
      <c r="Z112" s="6">
        <f>+SUM(Z106:Z111)</f>
        <v>0</v>
      </c>
      <c r="AA112" s="6">
        <f>+SUM(AA106:AA111)</f>
        <v>0</v>
      </c>
      <c r="AB112" s="6">
        <f>+SUM(AB106:AB111)</f>
        <v>0</v>
      </c>
    </row>
    <row r="113" spans="3:28" x14ac:dyDescent="0.2">
      <c r="G113" s="2"/>
      <c r="H113" s="2"/>
      <c r="I113" s="2"/>
      <c r="J113" s="2"/>
      <c r="K113" s="2"/>
      <c r="L113" s="2"/>
      <c r="M113" s="2"/>
      <c r="N113" s="2"/>
      <c r="O113" s="2"/>
      <c r="P113" s="2"/>
      <c r="Q113" s="2"/>
      <c r="R113" s="2"/>
      <c r="S113" s="2"/>
      <c r="T113" s="2"/>
      <c r="U113" s="2"/>
      <c r="V113" s="2"/>
      <c r="W113" s="2"/>
      <c r="X113" s="2"/>
      <c r="Y113" s="2"/>
      <c r="Z113" s="2"/>
      <c r="AA113" s="2"/>
      <c r="AB113" s="2"/>
    </row>
    <row r="114" spans="3:28" x14ac:dyDescent="0.2">
      <c r="C114" s="1" t="s">
        <v>112</v>
      </c>
      <c r="E114" s="2">
        <v>25033</v>
      </c>
      <c r="F114" s="2">
        <v>25031</v>
      </c>
      <c r="G114" s="2">
        <v>25074</v>
      </c>
      <c r="H114" s="2"/>
      <c r="I114" s="2"/>
      <c r="J114" s="2"/>
      <c r="K114" s="2"/>
      <c r="L114" s="2">
        <v>25038</v>
      </c>
      <c r="M114" s="2"/>
      <c r="N114" s="2"/>
      <c r="O114" s="2"/>
      <c r="P114" s="2"/>
      <c r="Q114" s="2">
        <v>30234</v>
      </c>
      <c r="R114" s="2">
        <v>30550</v>
      </c>
      <c r="S114" s="2">
        <v>30221</v>
      </c>
      <c r="T114" s="2">
        <v>28198</v>
      </c>
      <c r="U114" s="2">
        <v>27693</v>
      </c>
      <c r="V114" s="2">
        <v>27693</v>
      </c>
      <c r="W114" s="2">
        <v>28253</v>
      </c>
      <c r="X114" s="2"/>
      <c r="Y114" s="2"/>
      <c r="Z114" s="2"/>
      <c r="AA114" s="2"/>
      <c r="AB114" s="2"/>
    </row>
    <row r="115" spans="3:28" x14ac:dyDescent="0.2">
      <c r="C115" s="1" t="s">
        <v>154</v>
      </c>
      <c r="E115" s="2">
        <v>59874</v>
      </c>
      <c r="F115" s="2">
        <v>43685</v>
      </c>
      <c r="G115" s="2">
        <v>45878</v>
      </c>
      <c r="H115" s="2"/>
      <c r="I115" s="2"/>
      <c r="J115" s="2"/>
      <c r="K115" s="2"/>
      <c r="L115" s="2">
        <v>43448</v>
      </c>
      <c r="M115" s="2"/>
      <c r="N115" s="2"/>
      <c r="O115" s="2"/>
      <c r="P115" s="2"/>
      <c r="Q115" s="2">
        <v>0</v>
      </c>
      <c r="R115" s="2">
        <v>44103</v>
      </c>
      <c r="S115" s="2">
        <v>45441</v>
      </c>
      <c r="T115" s="2">
        <v>57375</v>
      </c>
      <c r="U115" s="2">
        <v>0</v>
      </c>
      <c r="V115" s="2">
        <v>0</v>
      </c>
      <c r="W115" s="2">
        <v>0</v>
      </c>
      <c r="X115" s="2"/>
      <c r="Y115" s="2"/>
      <c r="Z115" s="2"/>
      <c r="AA115" s="2"/>
      <c r="AB115" s="2"/>
    </row>
    <row r="116" spans="3:28" x14ac:dyDescent="0.2">
      <c r="C116" s="1" t="s">
        <v>113</v>
      </c>
      <c r="E116" s="2">
        <v>0</v>
      </c>
      <c r="F116" s="2">
        <v>0</v>
      </c>
      <c r="G116" s="2">
        <v>180848</v>
      </c>
      <c r="H116" s="2"/>
      <c r="I116" s="2"/>
      <c r="J116" s="2"/>
      <c r="K116" s="2"/>
      <c r="L116" s="2">
        <v>180604</v>
      </c>
      <c r="M116" s="2"/>
      <c r="N116" s="2"/>
      <c r="O116" s="2"/>
      <c r="P116" s="2"/>
      <c r="Q116" s="2">
        <v>142802</v>
      </c>
      <c r="R116" s="2">
        <v>140814</v>
      </c>
      <c r="S116" s="2">
        <v>130891</v>
      </c>
      <c r="T116" s="2">
        <v>122700</v>
      </c>
      <c r="U116" s="2">
        <v>122317</v>
      </c>
      <c r="V116" s="2">
        <v>122317</v>
      </c>
      <c r="W116" s="2">
        <v>117913</v>
      </c>
      <c r="X116" s="2"/>
      <c r="Y116" s="2"/>
      <c r="Z116" s="2"/>
      <c r="AA116" s="2"/>
      <c r="AB116" s="2"/>
    </row>
    <row r="117" spans="3:28" x14ac:dyDescent="0.2">
      <c r="C117" s="1" t="s">
        <v>114</v>
      </c>
      <c r="E117" s="2">
        <v>9435</v>
      </c>
      <c r="F117" s="2">
        <v>17661</v>
      </c>
      <c r="G117" s="2">
        <v>9315</v>
      </c>
      <c r="H117" s="2"/>
      <c r="I117" s="2"/>
      <c r="J117" s="2"/>
      <c r="K117" s="2"/>
      <c r="L117" s="2">
        <v>23274</v>
      </c>
      <c r="M117" s="2"/>
      <c r="N117" s="2"/>
      <c r="O117" s="2"/>
      <c r="P117" s="2"/>
      <c r="Q117" s="2">
        <v>90934</v>
      </c>
      <c r="R117" s="2">
        <v>55095</v>
      </c>
      <c r="S117" s="2">
        <v>48702</v>
      </c>
      <c r="T117" s="2">
        <v>40729</v>
      </c>
      <c r="U117" s="2">
        <v>108648</v>
      </c>
      <c r="V117" s="2">
        <v>108648</v>
      </c>
      <c r="W117" s="2">
        <v>111879</v>
      </c>
      <c r="X117" s="2"/>
      <c r="Y117" s="2"/>
      <c r="Z117" s="2"/>
      <c r="AA117" s="2"/>
      <c r="AB117" s="2"/>
    </row>
    <row r="118" spans="3:28" x14ac:dyDescent="0.2">
      <c r="C118" s="4" t="s">
        <v>10</v>
      </c>
      <c r="D118" s="4"/>
      <c r="E118" s="6">
        <f>+SUM(E114:E117)</f>
        <v>94342</v>
      </c>
      <c r="F118" s="6">
        <f>+SUM(F114:F117)</f>
        <v>86377</v>
      </c>
      <c r="G118" s="6">
        <f>+SUM(G114:G117)</f>
        <v>261115</v>
      </c>
      <c r="H118" s="6">
        <f>+SUM(H114:H117)</f>
        <v>0</v>
      </c>
      <c r="I118" s="6">
        <f>+SUM(I114:I117)</f>
        <v>0</v>
      </c>
      <c r="J118" s="6">
        <f>+SUM(J114:J117)</f>
        <v>0</v>
      </c>
      <c r="K118" s="6">
        <f>+SUM(K114:K117)</f>
        <v>0</v>
      </c>
      <c r="L118" s="6">
        <f>+SUM(L114:L117)</f>
        <v>272364</v>
      </c>
      <c r="M118" s="6">
        <f>+SUM(M114:M117)</f>
        <v>0</v>
      </c>
      <c r="N118" s="6">
        <f>+SUM(N114:N117)</f>
        <v>0</v>
      </c>
      <c r="O118" s="6">
        <f>+SUM(O114:O117)</f>
        <v>0</v>
      </c>
      <c r="P118" s="6">
        <f>+SUM(P114:P117)</f>
        <v>0</v>
      </c>
      <c r="Q118" s="6">
        <f>+SUM(Q114:Q117)</f>
        <v>263970</v>
      </c>
      <c r="R118" s="6">
        <f>+SUM(R114:R117)</f>
        <v>270562</v>
      </c>
      <c r="S118" s="6">
        <f>+SUM(S114:S117)</f>
        <v>255255</v>
      </c>
      <c r="T118" s="6">
        <f>+SUM(T114:T117)</f>
        <v>249002</v>
      </c>
      <c r="U118" s="6">
        <f>+SUM(U114:U117)</f>
        <v>258658</v>
      </c>
      <c r="V118" s="6">
        <f>+SUM(V114:V117)</f>
        <v>258658</v>
      </c>
      <c r="W118" s="6">
        <f>+SUM(W114:W117)</f>
        <v>258045</v>
      </c>
      <c r="X118" s="6">
        <f>+SUM(X114:X117)</f>
        <v>0</v>
      </c>
      <c r="Y118" s="6">
        <f>+SUM(Y114:Y117)</f>
        <v>0</v>
      </c>
      <c r="Z118" s="6">
        <f>+SUM(Z114:Z117)</f>
        <v>0</v>
      </c>
      <c r="AA118" s="6">
        <f>+SUM(AA114:AA117)</f>
        <v>0</v>
      </c>
      <c r="AB118" s="6">
        <f>+SUM(AB114:AB117)</f>
        <v>0</v>
      </c>
    </row>
    <row r="119" spans="3:28" x14ac:dyDescent="0.2">
      <c r="G119" s="2"/>
      <c r="H119" s="2"/>
      <c r="I119" s="2"/>
      <c r="J119" s="2"/>
      <c r="K119" s="2"/>
      <c r="L119" s="2"/>
      <c r="M119" s="2"/>
      <c r="N119" s="2"/>
      <c r="O119" s="2"/>
      <c r="P119" s="2"/>
      <c r="Q119" s="2"/>
      <c r="R119" s="2"/>
      <c r="S119" s="2"/>
      <c r="T119" s="2"/>
      <c r="U119" s="2"/>
      <c r="V119" s="2"/>
      <c r="W119" s="2"/>
      <c r="X119" s="2"/>
      <c r="Y119" s="2"/>
      <c r="Z119" s="2"/>
      <c r="AA119" s="2"/>
      <c r="AB119" s="2"/>
    </row>
    <row r="120" spans="3:28" x14ac:dyDescent="0.2">
      <c r="C120" s="3" t="s">
        <v>49</v>
      </c>
      <c r="D120" s="3"/>
      <c r="E120" s="5"/>
      <c r="F120" s="5"/>
      <c r="G120" s="5">
        <v>0</v>
      </c>
      <c r="H120" s="5"/>
      <c r="I120" s="5"/>
      <c r="J120" s="5"/>
      <c r="K120" s="5"/>
      <c r="L120" s="5">
        <v>0</v>
      </c>
      <c r="M120" s="5"/>
      <c r="N120" s="5"/>
      <c r="O120" s="5"/>
      <c r="P120" s="5"/>
      <c r="Q120" s="5">
        <v>8720</v>
      </c>
      <c r="R120" s="5">
        <v>1653</v>
      </c>
      <c r="S120" s="5">
        <v>1653</v>
      </c>
      <c r="T120" s="5">
        <v>1478</v>
      </c>
      <c r="U120" s="5">
        <v>1478</v>
      </c>
      <c r="V120" s="5">
        <v>1478</v>
      </c>
      <c r="W120" s="5">
        <v>1478</v>
      </c>
      <c r="X120" s="5"/>
      <c r="Y120" s="5"/>
      <c r="Z120" s="5"/>
      <c r="AA120" s="5"/>
      <c r="AB120" s="5"/>
    </row>
    <row r="121" spans="3:28" x14ac:dyDescent="0.2">
      <c r="C121" s="3" t="s">
        <v>50</v>
      </c>
      <c r="D121" s="3"/>
      <c r="E121" s="5">
        <v>974947</v>
      </c>
      <c r="F121" s="5">
        <v>1262596</v>
      </c>
      <c r="G121" s="5">
        <v>1596145</v>
      </c>
      <c r="H121" s="5"/>
      <c r="I121" s="5"/>
      <c r="J121" s="5"/>
      <c r="K121" s="5"/>
      <c r="L121" s="5">
        <v>1983018</v>
      </c>
      <c r="M121" s="5"/>
      <c r="N121" s="5"/>
      <c r="O121" s="5"/>
      <c r="P121" s="5"/>
      <c r="Q121" s="5">
        <v>2487117</v>
      </c>
      <c r="R121" s="5">
        <v>2552103</v>
      </c>
      <c r="S121" s="5">
        <v>2622353</v>
      </c>
      <c r="T121" s="5">
        <v>2757166</v>
      </c>
      <c r="U121" s="5">
        <v>3001532</v>
      </c>
      <c r="V121" s="5">
        <v>3001532</v>
      </c>
      <c r="W121" s="5">
        <v>3128964</v>
      </c>
      <c r="X121" s="5"/>
      <c r="Y121" s="5"/>
      <c r="Z121" s="5"/>
      <c r="AA121" s="5"/>
      <c r="AB121" s="5"/>
    </row>
    <row r="122" spans="3:28" x14ac:dyDescent="0.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3:28" x14ac:dyDescent="0.2">
      <c r="C123" s="10" t="s">
        <v>11</v>
      </c>
      <c r="D123" s="10"/>
      <c r="E123" s="11">
        <f>+E121+E118+E112+E120</f>
        <v>1250256</v>
      </c>
      <c r="F123" s="11">
        <f>+F121+F118+F112+F120</f>
        <v>1611802</v>
      </c>
      <c r="G123" s="11">
        <f>+G121+G118+G112+G120</f>
        <v>2244208</v>
      </c>
      <c r="H123" s="11">
        <f>+H121+H118+H112+H120</f>
        <v>0</v>
      </c>
      <c r="I123" s="11">
        <f>+I121+I118+I112+I120</f>
        <v>0</v>
      </c>
      <c r="J123" s="11">
        <f>+J121+J118+J112+J120</f>
        <v>0</v>
      </c>
      <c r="K123" s="11">
        <f>+K121+K118+K112+K120</f>
        <v>0</v>
      </c>
      <c r="L123" s="11">
        <f>+L121+L118+L112+L120</f>
        <v>2721332</v>
      </c>
      <c r="M123" s="11">
        <f>+M121+M118+M112+M120</f>
        <v>0</v>
      </c>
      <c r="N123" s="11">
        <f>+N121+N118+N112+N120</f>
        <v>0</v>
      </c>
      <c r="O123" s="11">
        <f>+O121+O118+O112+O120</f>
        <v>0</v>
      </c>
      <c r="P123" s="11">
        <f>+P121+P118+P112+P120</f>
        <v>0</v>
      </c>
      <c r="Q123" s="11">
        <f>+Q121+Q118+Q112+Q120</f>
        <v>3523227</v>
      </c>
      <c r="R123" s="11">
        <f>+R121+R118+R112+R120</f>
        <v>3507570</v>
      </c>
      <c r="S123" s="11">
        <f>+S121+S118+S112+S120</f>
        <v>3563964</v>
      </c>
      <c r="T123" s="11">
        <f>+T121+T118+T112+T120</f>
        <v>3735603</v>
      </c>
      <c r="U123" s="11">
        <f>+U121+U118+U112+U120</f>
        <v>4009151</v>
      </c>
      <c r="V123" s="11">
        <f>+V121+V118+V112+V120</f>
        <v>4009151</v>
      </c>
      <c r="W123" s="11">
        <f>+W121+W118+W112+W120</f>
        <v>4071345</v>
      </c>
      <c r="X123" s="11">
        <f>+X121+X118+X112+X120</f>
        <v>0</v>
      </c>
      <c r="Y123" s="11">
        <f>+Y121+Y118+Y112+Y120</f>
        <v>0</v>
      </c>
      <c r="Z123" s="11">
        <f>+Z121+Z118+Z112+Z120</f>
        <v>0</v>
      </c>
      <c r="AA123" s="11">
        <f>+AA121+AA118+AA112+AA120</f>
        <v>0</v>
      </c>
      <c r="AB123" s="11">
        <f>+AB121+AB118+AB112+AB120</f>
        <v>0</v>
      </c>
    </row>
    <row r="124" spans="3:28" x14ac:dyDescent="0.2">
      <c r="C124" s="1" t="s">
        <v>12</v>
      </c>
      <c r="E124" s="2">
        <f>+E123-E104</f>
        <v>0</v>
      </c>
      <c r="F124" s="2">
        <f>+F123-F104</f>
        <v>0</v>
      </c>
      <c r="G124" s="2">
        <f>+G123-G104</f>
        <v>0</v>
      </c>
      <c r="H124" s="2">
        <f>+H123-H104</f>
        <v>0</v>
      </c>
      <c r="I124" s="2">
        <f>+I123-I104</f>
        <v>0</v>
      </c>
      <c r="J124" s="2">
        <f>+J123-J104</f>
        <v>0</v>
      </c>
      <c r="K124" s="2">
        <f>+K123-K104</f>
        <v>0</v>
      </c>
      <c r="L124" s="2">
        <f>+L123-L104</f>
        <v>0</v>
      </c>
      <c r="M124" s="2">
        <f>+M123-M104</f>
        <v>0</v>
      </c>
      <c r="N124" s="2">
        <f>+N123-N104</f>
        <v>0</v>
      </c>
      <c r="O124" s="2">
        <f>+O123-O104</f>
        <v>0</v>
      </c>
      <c r="P124" s="2">
        <f>+P123-P104</f>
        <v>0</v>
      </c>
      <c r="Q124" s="2">
        <f>+Q123-Q104</f>
        <v>0</v>
      </c>
      <c r="R124" s="2">
        <f>+R123-R104</f>
        <v>0</v>
      </c>
      <c r="S124" s="2">
        <f>+S123-S104</f>
        <v>0</v>
      </c>
      <c r="T124" s="2">
        <f>+T123-T104</f>
        <v>0</v>
      </c>
      <c r="U124" s="2">
        <f>+U123-U104</f>
        <v>0</v>
      </c>
      <c r="V124" s="2">
        <f>+V123-V104</f>
        <v>0</v>
      </c>
      <c r="W124" s="2">
        <f>+W123-W104</f>
        <v>0</v>
      </c>
      <c r="X124" s="2">
        <f>+X123-X104</f>
        <v>0</v>
      </c>
      <c r="Y124" s="2">
        <f>+Y123-Y104</f>
        <v>0</v>
      </c>
      <c r="Z124" s="2">
        <f>+Z123-Z104</f>
        <v>0</v>
      </c>
      <c r="AA124" s="2">
        <f>+AA123-AA104</f>
        <v>0</v>
      </c>
      <c r="AB124" s="2">
        <f>+AB123-AB104</f>
        <v>0</v>
      </c>
    </row>
    <row r="125" spans="3:28" x14ac:dyDescent="0.2">
      <c r="G125" s="2"/>
      <c r="H125" s="2"/>
      <c r="I125" s="2"/>
      <c r="J125" s="2"/>
      <c r="K125" s="2"/>
      <c r="L125" s="2"/>
      <c r="M125" s="2"/>
      <c r="N125" s="2"/>
      <c r="O125" s="2"/>
      <c r="P125" s="2"/>
      <c r="Q125" s="2"/>
      <c r="R125" s="2"/>
      <c r="S125" s="2"/>
      <c r="T125" s="2"/>
      <c r="W125" s="2"/>
      <c r="X125" s="2"/>
      <c r="Y125" s="2"/>
      <c r="AA125" s="2"/>
      <c r="AB125" s="2"/>
    </row>
    <row r="126" spans="3:28" x14ac:dyDescent="0.2">
      <c r="C126" s="22" t="s">
        <v>70</v>
      </c>
      <c r="D126" s="35"/>
      <c r="E126" s="35">
        <v>2017</v>
      </c>
      <c r="F126" s="35">
        <v>2018</v>
      </c>
      <c r="G126" s="35">
        <v>2019</v>
      </c>
      <c r="H126" s="12" t="s">
        <v>23</v>
      </c>
      <c r="I126" s="12" t="s">
        <v>24</v>
      </c>
      <c r="J126" s="12" t="s">
        <v>25</v>
      </c>
      <c r="K126" s="12" t="s">
        <v>27</v>
      </c>
      <c r="L126" s="35">
        <v>2020</v>
      </c>
      <c r="M126" s="12" t="s">
        <v>21</v>
      </c>
      <c r="N126" s="12" t="s">
        <v>22</v>
      </c>
      <c r="O126" s="12" t="s">
        <v>28</v>
      </c>
      <c r="P126" s="12" t="s">
        <v>26</v>
      </c>
      <c r="Q126" s="35">
        <v>2021</v>
      </c>
      <c r="R126" s="12" t="s">
        <v>30</v>
      </c>
      <c r="S126" s="12" t="s">
        <v>31</v>
      </c>
      <c r="T126" s="12" t="s">
        <v>32</v>
      </c>
      <c r="U126" s="12" t="s">
        <v>33</v>
      </c>
      <c r="V126" s="35">
        <v>2022</v>
      </c>
      <c r="W126" s="12" t="s">
        <v>34</v>
      </c>
      <c r="X126" s="12" t="s">
        <v>35</v>
      </c>
      <c r="Y126" s="12" t="s">
        <v>36</v>
      </c>
      <c r="Z126" s="12" t="s">
        <v>37</v>
      </c>
      <c r="AA126" s="35">
        <f>+V126+1</f>
        <v>2023</v>
      </c>
      <c r="AB126" s="35">
        <f>+AA126+1</f>
        <v>2024</v>
      </c>
    </row>
    <row r="127" spans="3:28" x14ac:dyDescent="0.2">
      <c r="C127" s="1" t="s">
        <v>53</v>
      </c>
      <c r="E127" s="2">
        <f>+E114+E109</f>
        <v>25033</v>
      </c>
      <c r="F127" s="2">
        <f>+F114+F109</f>
        <v>25031</v>
      </c>
      <c r="G127" s="2">
        <f>+G114+G109</f>
        <v>25074</v>
      </c>
      <c r="H127" s="2"/>
      <c r="I127" s="2"/>
      <c r="J127" s="2"/>
      <c r="K127" s="2"/>
      <c r="L127" s="2">
        <f>+L114+L109</f>
        <v>25038</v>
      </c>
      <c r="M127" s="2"/>
      <c r="N127" s="2"/>
      <c r="O127" s="2"/>
      <c r="P127" s="2"/>
      <c r="Q127" s="2">
        <f>+Q114+Q109</f>
        <v>46252</v>
      </c>
      <c r="R127" s="2">
        <f>+R114+R109</f>
        <v>40450</v>
      </c>
      <c r="S127" s="2">
        <f>+S114+S109</f>
        <v>36922</v>
      </c>
      <c r="T127" s="2">
        <f>+T114+T109</f>
        <v>35988</v>
      </c>
      <c r="U127" s="2">
        <f>+U114+U109</f>
        <v>30554</v>
      </c>
      <c r="V127" s="2">
        <f>+V114+V109</f>
        <v>30554</v>
      </c>
      <c r="W127" s="2">
        <f>+W114+W109</f>
        <v>28253</v>
      </c>
      <c r="X127" s="2"/>
      <c r="Y127" s="2"/>
      <c r="Z127" s="2"/>
      <c r="AA127" s="2"/>
      <c r="AB127" s="2"/>
    </row>
    <row r="128" spans="3:28" x14ac:dyDescent="0.2">
      <c r="C128" s="1" t="s">
        <v>54</v>
      </c>
      <c r="E128" s="2">
        <f>+E89+E91</f>
        <v>582585</v>
      </c>
      <c r="F128" s="2">
        <f>+F89+F91</f>
        <v>770560</v>
      </c>
      <c r="G128" s="2">
        <f>+G89+G91</f>
        <v>936561</v>
      </c>
      <c r="H128" s="2"/>
      <c r="I128" s="2"/>
      <c r="J128" s="2"/>
      <c r="K128" s="2"/>
      <c r="L128" s="2">
        <f>+L89+L91</f>
        <v>1382150</v>
      </c>
      <c r="M128" s="2"/>
      <c r="N128" s="2"/>
      <c r="O128" s="2"/>
      <c r="P128" s="2"/>
      <c r="Q128" s="2">
        <f>+Q89+Q91</f>
        <v>1446625</v>
      </c>
      <c r="R128" s="2">
        <f>+R89+R91</f>
        <v>1276461</v>
      </c>
      <c r="S128" s="2">
        <f>+S89+S91</f>
        <v>1353616</v>
      </c>
      <c r="T128" s="2">
        <f>+T89+T91</f>
        <v>1547815</v>
      </c>
      <c r="U128" s="2">
        <f>+U89+U91</f>
        <v>1741680</v>
      </c>
      <c r="V128" s="2">
        <f>+V89+V91</f>
        <v>1741680</v>
      </c>
      <c r="W128" s="2">
        <f>+W89+W91</f>
        <v>1809795</v>
      </c>
      <c r="X128" s="2">
        <f>+X89+X91</f>
        <v>0</v>
      </c>
      <c r="Y128" s="2">
        <f>+Y89+Y91</f>
        <v>0</v>
      </c>
      <c r="Z128" s="2">
        <f>+Z89+Z91</f>
        <v>0</v>
      </c>
      <c r="AA128" s="2">
        <f>+AA89+AA91</f>
        <v>0</v>
      </c>
      <c r="AB128" s="2">
        <f>+AB89+AB91</f>
        <v>0</v>
      </c>
    </row>
    <row r="129" spans="3:28" x14ac:dyDescent="0.2">
      <c r="C129" s="1" t="s">
        <v>55</v>
      </c>
      <c r="E129" s="2">
        <f t="shared" ref="E129:T129" si="13">+E127-E128</f>
        <v>-557552</v>
      </c>
      <c r="F129" s="2">
        <f t="shared" si="13"/>
        <v>-745529</v>
      </c>
      <c r="G129" s="2">
        <f t="shared" si="13"/>
        <v>-911487</v>
      </c>
      <c r="H129" s="2"/>
      <c r="I129" s="2"/>
      <c r="J129" s="2"/>
      <c r="K129" s="2"/>
      <c r="L129" s="2">
        <f t="shared" si="13"/>
        <v>-1357112</v>
      </c>
      <c r="M129" s="2"/>
      <c r="N129" s="2"/>
      <c r="O129" s="2"/>
      <c r="P129" s="2"/>
      <c r="Q129" s="2">
        <f>+Q127-Q128</f>
        <v>-1400373</v>
      </c>
      <c r="R129" s="2">
        <f t="shared" si="13"/>
        <v>-1236011</v>
      </c>
      <c r="S129" s="2">
        <f t="shared" si="13"/>
        <v>-1316694</v>
      </c>
      <c r="T129" s="2">
        <f t="shared" si="13"/>
        <v>-1511827</v>
      </c>
      <c r="U129" s="2">
        <f>+U127-U128</f>
        <v>-1711126</v>
      </c>
      <c r="V129" s="2">
        <f>+V127-V128</f>
        <v>-1711126</v>
      </c>
      <c r="W129" s="2">
        <f>+W127-W128</f>
        <v>-1781542</v>
      </c>
      <c r="X129" s="2"/>
      <c r="Y129" s="2"/>
      <c r="Z129" s="2"/>
      <c r="AA129" s="2"/>
      <c r="AB129" s="2"/>
    </row>
    <row r="130" spans="3:28" x14ac:dyDescent="0.2">
      <c r="C130" s="1" t="s">
        <v>89</v>
      </c>
      <c r="E130" s="2">
        <f>+E116+E111</f>
        <v>0</v>
      </c>
      <c r="F130" s="2">
        <f>+F116+F111</f>
        <v>0</v>
      </c>
      <c r="G130" s="2">
        <f>+G116+G111</f>
        <v>238390</v>
      </c>
      <c r="H130" s="2"/>
      <c r="I130" s="2"/>
      <c r="J130" s="2"/>
      <c r="K130" s="2"/>
      <c r="L130" s="2">
        <f>+L116+L111</f>
        <v>241363</v>
      </c>
      <c r="M130" s="2"/>
      <c r="N130" s="2"/>
      <c r="O130" s="2"/>
      <c r="P130" s="2"/>
      <c r="Q130" s="2">
        <f>+Q116+Q111</f>
        <v>192906</v>
      </c>
      <c r="R130" s="2">
        <f>+R116+R111</f>
        <v>187835</v>
      </c>
      <c r="S130" s="2">
        <f>+S116+S111</f>
        <v>172016</v>
      </c>
      <c r="T130" s="2">
        <f>+T116+T111</f>
        <v>161302</v>
      </c>
      <c r="U130" s="2">
        <f>+U116+U111</f>
        <v>162669</v>
      </c>
      <c r="V130" s="2">
        <f>+V116+V111</f>
        <v>162669</v>
      </c>
      <c r="W130" s="2">
        <f>+W116+W111</f>
        <v>158845</v>
      </c>
      <c r="X130" s="2"/>
      <c r="Y130" s="2"/>
      <c r="Z130" s="2"/>
      <c r="AA130" s="2"/>
      <c r="AB130" s="2"/>
    </row>
    <row r="131" spans="3:28" x14ac:dyDescent="0.2">
      <c r="C131" s="1" t="s">
        <v>96</v>
      </c>
      <c r="E131" s="38">
        <f>+(E129+E130)/E10</f>
        <v>-2.76689759215515</v>
      </c>
      <c r="F131" s="38">
        <f>+(F129+F130)/F10</f>
        <v>-2.6399378195776264</v>
      </c>
      <c r="G131" s="38">
        <f>+(G129+G130)/G10</f>
        <v>-1.9332590394839257</v>
      </c>
      <c r="H131" s="38"/>
      <c r="I131" s="38"/>
      <c r="J131" s="38"/>
      <c r="K131" s="38"/>
      <c r="L131" s="38">
        <f>+(L129+L130)/L10</f>
        <v>-2.5231887073211547</v>
      </c>
      <c r="M131" s="38"/>
      <c r="N131" s="38"/>
      <c r="O131" s="38"/>
      <c r="P131" s="38"/>
      <c r="Q131" s="38">
        <f>+(Q129+Q130)/Q10</f>
        <v>-1.9297519142223807</v>
      </c>
      <c r="R131" s="38">
        <f>+(R129+R130)/(R10+P10+O10+N10)</f>
        <v>-6.8284636582172107</v>
      </c>
      <c r="S131" s="38">
        <f>+(S129+S130)/(S10+R10+P10+O10)</f>
        <v>-4.2472246133752858</v>
      </c>
      <c r="T131" s="38">
        <f>+(T129+T130)/(T10+S10+R10+P10)</f>
        <v>-2.8636175694157311</v>
      </c>
      <c r="U131" s="38">
        <f>+(U129+U130)/(U10+S10+R10+Q10)</f>
        <v>-1.4221083605946112</v>
      </c>
      <c r="V131" s="38">
        <f>+(V129+V130)/(V10+T10+S10+R10)</f>
        <v>-1.3620556043745322</v>
      </c>
      <c r="W131" s="38">
        <f>+(W129+W130)/(W10+U10+T10+S10)</f>
        <v>-2.4778161217914461</v>
      </c>
      <c r="X131" s="2"/>
      <c r="Y131" s="2"/>
      <c r="Z131" s="38"/>
      <c r="AA131" s="2"/>
      <c r="AB131" s="2"/>
    </row>
    <row r="132" spans="3:28" x14ac:dyDescent="0.2">
      <c r="C132" s="1" t="s">
        <v>69</v>
      </c>
      <c r="E132" s="2">
        <f t="shared" ref="E132:U132" si="14">+E129-D129</f>
        <v>-557552</v>
      </c>
      <c r="F132" s="2">
        <f t="shared" si="14"/>
        <v>-187977</v>
      </c>
      <c r="G132" s="2">
        <f t="shared" si="14"/>
        <v>-165958</v>
      </c>
      <c r="H132" s="2"/>
      <c r="I132" s="2"/>
      <c r="J132" s="2"/>
      <c r="K132" s="2"/>
      <c r="L132" s="2">
        <f t="shared" si="14"/>
        <v>-1357112</v>
      </c>
      <c r="M132" s="2"/>
      <c r="N132" s="2"/>
      <c r="O132" s="2"/>
      <c r="P132" s="2"/>
      <c r="Q132" s="2">
        <f t="shared" si="14"/>
        <v>-1400373</v>
      </c>
      <c r="R132" s="2">
        <f t="shared" si="14"/>
        <v>164362</v>
      </c>
      <c r="S132" s="2">
        <f t="shared" si="14"/>
        <v>-80683</v>
      </c>
      <c r="T132" s="2">
        <f t="shared" si="14"/>
        <v>-195133</v>
      </c>
      <c r="U132" s="2">
        <f t="shared" si="14"/>
        <v>-199299</v>
      </c>
      <c r="V132" s="2">
        <f>+V129-U129</f>
        <v>0</v>
      </c>
      <c r="W132" s="2">
        <f>+W129-V129</f>
        <v>-70416</v>
      </c>
      <c r="X132" s="2"/>
      <c r="Y132" s="2"/>
      <c r="Z132" s="2"/>
      <c r="AA132" s="2"/>
      <c r="AB132" s="2"/>
    </row>
    <row r="133" spans="3:28" x14ac:dyDescent="0.2">
      <c r="C133" s="1" t="s">
        <v>56</v>
      </c>
      <c r="E133" s="2">
        <f>+E90+E93-E106-E107-E108-E110+E92</f>
        <v>196481</v>
      </c>
      <c r="F133" s="2">
        <f>+F90+F93-F106-F107-F108-F110+F92</f>
        <v>165679</v>
      </c>
      <c r="G133" s="2">
        <f>+G90+G93-G106-G107-G108-G110+G92</f>
        <v>208244</v>
      </c>
      <c r="H133" s="2"/>
      <c r="I133" s="2"/>
      <c r="J133" s="2"/>
      <c r="K133" s="2"/>
      <c r="L133" s="2">
        <f>+L90+L93-L106-L107-L108-L110+L92</f>
        <v>125441</v>
      </c>
      <c r="M133" s="2"/>
      <c r="N133" s="2"/>
      <c r="O133" s="2"/>
      <c r="P133" s="2"/>
      <c r="Q133" s="2">
        <f>+Q90+Q93-Q106-Q107-Q108-Q110+Q92</f>
        <v>125557</v>
      </c>
      <c r="R133" s="2">
        <f>+R90+R93-R106-R107-R108-R110+R92</f>
        <v>363961</v>
      </c>
      <c r="S133" s="2">
        <f>+S90+S93-S106-S107-S108-S110+S92</f>
        <v>369185</v>
      </c>
      <c r="T133" s="2">
        <f>+T90+T93-T106-T107-T108-T110+T92</f>
        <v>298606</v>
      </c>
      <c r="U133" s="2">
        <f>+U90+U93-U106-U107-U108-U110+U92</f>
        <v>313675</v>
      </c>
      <c r="V133" s="2">
        <f>+V90+V93-V106-V107-V108-V110+V92</f>
        <v>313675</v>
      </c>
      <c r="W133" s="2">
        <f>+W90+W93-W106-W107-W108-W110+W92</f>
        <v>379068</v>
      </c>
      <c r="X133" s="2">
        <f>+X90+X93-X106-X107-X108-X110+X92</f>
        <v>0</v>
      </c>
      <c r="Y133" s="2">
        <f>+Y90+Y93-Y106-Y107-Y108-Y110+Y92</f>
        <v>0</v>
      </c>
      <c r="Z133" s="2">
        <f>+Z90+Z93-Z106-Z107-Z108-Z110+Z92</f>
        <v>0</v>
      </c>
      <c r="AA133" s="2">
        <f>+AA90+AA93-AA106-AA107-AA108-AA110+AA92</f>
        <v>0</v>
      </c>
      <c r="AB133" s="2">
        <f>+AB90+AB93-AB106-AB107-AB108-AB110+AB92</f>
        <v>0</v>
      </c>
    </row>
    <row r="134" spans="3:28" x14ac:dyDescent="0.2">
      <c r="C134" s="1" t="s">
        <v>68</v>
      </c>
      <c r="E134" s="50">
        <f>IFERROR(+E133/E4,"-")</f>
        <v>0.1354622847561581</v>
      </c>
      <c r="F134" s="50">
        <f>IFERROR(+F133/F4,"-")</f>
        <v>8.9900657220746291E-2</v>
      </c>
      <c r="G134" s="50">
        <f>IFERROR(+G133/G4,"-")</f>
        <v>9.0785675111757877E-2</v>
      </c>
      <c r="H134" s="50"/>
      <c r="I134" s="50"/>
      <c r="J134" s="50"/>
      <c r="K134" s="50"/>
      <c r="L134" s="50">
        <f>IFERROR(+L133/L4,"-")</f>
        <v>4.7167526860534284E-2</v>
      </c>
      <c r="M134" s="50"/>
      <c r="N134" s="50"/>
      <c r="O134" s="50"/>
      <c r="P134" s="50"/>
      <c r="Q134" s="50">
        <f>IFERROR(+Q133/Q4,"-")</f>
        <v>3.3409310553294394E-2</v>
      </c>
      <c r="R134" s="50">
        <f>IFERROR(+R133/R4,"-")</f>
        <v>0.31064924113231834</v>
      </c>
      <c r="S134" s="50">
        <f>IFERROR(+S133/S4,"-")</f>
        <v>0.30897736222037542</v>
      </c>
      <c r="T134" s="50">
        <f>IFERROR(+T133/T4,"-")</f>
        <v>0.24337854138819157</v>
      </c>
      <c r="U134" s="50">
        <f>IFERROR(+U133/U4,"-")</f>
        <v>0.25475045541186858</v>
      </c>
      <c r="V134" s="50">
        <f>IFERROR(+V133/V4,"-")</f>
        <v>6.5014431991390967E-2</v>
      </c>
      <c r="W134" s="50">
        <f>IFERROR(+W133/W4,"-")</f>
        <v>0.31303589522528347</v>
      </c>
      <c r="X134" s="32"/>
      <c r="Y134" s="32"/>
      <c r="Z134" s="32"/>
      <c r="AA134" s="2"/>
      <c r="AB134" s="2"/>
    </row>
    <row r="135" spans="3:28" x14ac:dyDescent="0.2">
      <c r="C135" s="1" t="s">
        <v>71</v>
      </c>
      <c r="E135" s="50"/>
      <c r="F135" s="2">
        <f>+F133-E133</f>
        <v>-30802</v>
      </c>
      <c r="G135" s="2">
        <f>+G133-F133</f>
        <v>42565</v>
      </c>
      <c r="H135" s="2"/>
      <c r="I135" s="2"/>
      <c r="J135" s="2"/>
      <c r="K135" s="2"/>
      <c r="L135" s="2">
        <f>+L133-G133</f>
        <v>-82803</v>
      </c>
      <c r="M135" s="2"/>
      <c r="N135" s="2"/>
      <c r="O135" s="2"/>
      <c r="P135" s="2"/>
      <c r="Q135" s="2">
        <f>+Q133-L133</f>
        <v>116</v>
      </c>
      <c r="R135" s="2">
        <f>+R133-Q133</f>
        <v>238404</v>
      </c>
      <c r="S135" s="2">
        <f>+S133-R133</f>
        <v>5224</v>
      </c>
      <c r="T135" s="2">
        <f>+T133-S133</f>
        <v>-70579</v>
      </c>
      <c r="U135" s="2">
        <f>+U133-T133</f>
        <v>15069</v>
      </c>
      <c r="V135" s="2">
        <f>+V133-Q133</f>
        <v>188118</v>
      </c>
      <c r="W135" s="2">
        <f>+W133-V133</f>
        <v>65393</v>
      </c>
      <c r="X135" s="2"/>
      <c r="Y135" s="2"/>
      <c r="Z135" s="2"/>
      <c r="AA135" s="2"/>
      <c r="AB135" s="2"/>
    </row>
    <row r="136" spans="3:28" x14ac:dyDescent="0.2">
      <c r="C136" s="1" t="s">
        <v>72</v>
      </c>
      <c r="E136" s="2">
        <f>+E90/E4*365</f>
        <v>66.847094828632251</v>
      </c>
      <c r="F136" s="2">
        <f>+F90/F4*365</f>
        <v>58.958336046430865</v>
      </c>
      <c r="G136" s="2">
        <f>+G90/G4*365</f>
        <v>79.198926845345582</v>
      </c>
      <c r="H136" s="2"/>
      <c r="I136" s="2"/>
      <c r="J136" s="2"/>
      <c r="K136" s="2"/>
      <c r="L136" s="2">
        <f>+L90/L4*365</f>
        <v>68.768243241718864</v>
      </c>
      <c r="M136" s="2"/>
      <c r="N136" s="2"/>
      <c r="O136" s="2"/>
      <c r="P136" s="2"/>
      <c r="Q136" s="2">
        <f>+Q90/Q4*365</f>
        <v>74.680139983992092</v>
      </c>
      <c r="R136" s="2"/>
      <c r="S136" s="2"/>
      <c r="T136" s="2"/>
      <c r="U136" s="2"/>
      <c r="V136" s="2">
        <f>+V90/V4*365</f>
        <v>70.555398493335758</v>
      </c>
      <c r="W136" s="2"/>
      <c r="X136" s="2"/>
      <c r="Y136" s="2"/>
      <c r="Z136" s="2"/>
      <c r="AA136" s="2"/>
      <c r="AB136" s="2"/>
    </row>
    <row r="137" spans="3:28" x14ac:dyDescent="0.2">
      <c r="C137" s="1" t="s">
        <v>73</v>
      </c>
      <c r="E137" s="2">
        <v>0</v>
      </c>
      <c r="F137" s="2">
        <v>0</v>
      </c>
      <c r="G137" s="2">
        <v>0</v>
      </c>
      <c r="H137" s="2"/>
      <c r="I137" s="2"/>
      <c r="J137" s="2"/>
      <c r="K137" s="2"/>
      <c r="L137" s="2">
        <v>0</v>
      </c>
      <c r="M137" s="2"/>
      <c r="N137" s="2"/>
      <c r="O137" s="2"/>
      <c r="P137" s="2"/>
      <c r="Q137" s="2">
        <v>0</v>
      </c>
      <c r="R137" s="2">
        <v>0</v>
      </c>
      <c r="S137" s="2">
        <v>0</v>
      </c>
      <c r="T137" s="2">
        <v>0</v>
      </c>
      <c r="U137" s="2">
        <v>0</v>
      </c>
      <c r="V137" s="2">
        <v>0</v>
      </c>
      <c r="W137" s="2"/>
      <c r="X137" s="2"/>
      <c r="Y137" s="2"/>
      <c r="Z137" s="2"/>
      <c r="AA137" s="2"/>
      <c r="AB137" s="2"/>
    </row>
    <row r="138" spans="3:28" x14ac:dyDescent="0.2">
      <c r="C138" s="1" t="s">
        <v>74</v>
      </c>
      <c r="E138" s="2">
        <f>+E106/-E5*365</f>
        <v>2.2081788502114286</v>
      </c>
      <c r="F138" s="2">
        <f>+F106/-F5*365</f>
        <v>2.2891666757939242</v>
      </c>
      <c r="G138" s="2">
        <f>+G106/-G5*365</f>
        <v>1.9206550472450576</v>
      </c>
      <c r="H138" s="2"/>
      <c r="I138" s="2"/>
      <c r="J138" s="2"/>
      <c r="K138" s="2"/>
      <c r="L138" s="2">
        <f>+L106/-L5*365</f>
        <v>2.1465730305300594</v>
      </c>
      <c r="M138" s="2"/>
      <c r="N138" s="2"/>
      <c r="O138" s="2"/>
      <c r="P138" s="2"/>
      <c r="Q138" s="2">
        <f>+Q106/-Q5*365</f>
        <v>3.6514739921979209</v>
      </c>
      <c r="R138" s="2"/>
      <c r="S138" s="2"/>
      <c r="T138" s="2"/>
      <c r="U138" s="2"/>
      <c r="V138" s="2">
        <f>+V106/-V5*365</f>
        <v>3.4262446363096166</v>
      </c>
      <c r="W138" s="2"/>
      <c r="X138" s="2"/>
      <c r="Y138" s="2"/>
      <c r="Z138" s="2"/>
      <c r="AA138" s="2"/>
      <c r="AB138" s="2"/>
    </row>
    <row r="139" spans="3:28" x14ac:dyDescent="0.2">
      <c r="C139" s="1" t="s">
        <v>75</v>
      </c>
      <c r="E139" s="50">
        <f>+E93/E4</f>
        <v>1.7449091591011882E-2</v>
      </c>
      <c r="F139" s="50">
        <f>+F93/F4</f>
        <v>1.4200895105137955E-2</v>
      </c>
      <c r="G139" s="50">
        <f>+G93/G4</f>
        <v>1.7409553936309996E-2</v>
      </c>
      <c r="H139" s="50"/>
      <c r="I139" s="50"/>
      <c r="J139" s="50"/>
      <c r="K139" s="50"/>
      <c r="L139" s="50">
        <f>+L93/L4</f>
        <v>1.1118723298331476E-2</v>
      </c>
      <c r="M139" s="50"/>
      <c r="N139" s="50"/>
      <c r="O139" s="50"/>
      <c r="P139" s="50"/>
      <c r="Q139" s="50">
        <f>+Q93/Q4</f>
        <v>1.43493703274808E-2</v>
      </c>
      <c r="R139" s="2"/>
      <c r="S139" s="2"/>
      <c r="T139" s="2"/>
      <c r="U139" s="2"/>
      <c r="V139" s="50">
        <f>+V93/V4</f>
        <v>1.7683801141542953E-2</v>
      </c>
      <c r="W139" s="2"/>
      <c r="X139" s="2"/>
      <c r="Y139" s="2"/>
      <c r="Z139" s="2"/>
      <c r="AA139" s="2"/>
      <c r="AB139" s="2"/>
    </row>
    <row r="140" spans="3:28" x14ac:dyDescent="0.2">
      <c r="C140" s="1" t="s">
        <v>76</v>
      </c>
      <c r="E140" s="50">
        <f>+(E107+E108)/E4</f>
        <v>9.2752721917642E-2</v>
      </c>
      <c r="F140" s="50">
        <f>+(F107+F108)/F4</f>
        <v>0.10176286225278255</v>
      </c>
      <c r="G140" s="50">
        <f>+(G107+G108)/G4</f>
        <v>0.13624172660365036</v>
      </c>
      <c r="H140" s="50"/>
      <c r="I140" s="50"/>
      <c r="J140" s="50"/>
      <c r="K140" s="50"/>
      <c r="L140" s="50">
        <f>+(L107+L108)/L4</f>
        <v>0.1407791303406157</v>
      </c>
      <c r="M140" s="50"/>
      <c r="N140" s="50"/>
      <c r="O140" s="50"/>
      <c r="P140" s="50"/>
      <c r="Q140" s="50">
        <f>+(Q107+Q108)/Q4</f>
        <v>0.17163019831065549</v>
      </c>
      <c r="R140" s="2"/>
      <c r="S140" s="2"/>
      <c r="T140" s="2"/>
      <c r="U140" s="2"/>
      <c r="V140" s="50">
        <f>+(V107+V108)/V4</f>
        <v>0.13002865671592295</v>
      </c>
      <c r="W140" s="2"/>
      <c r="X140" s="2"/>
      <c r="Y140" s="2"/>
      <c r="Z140" s="2"/>
      <c r="AA140" s="2"/>
      <c r="AB140" s="2"/>
    </row>
    <row r="141" spans="3:28" x14ac:dyDescent="0.2">
      <c r="E141" s="47"/>
      <c r="F141" s="2"/>
      <c r="G141" s="2"/>
      <c r="H141" s="2"/>
      <c r="I141" s="2"/>
      <c r="J141" s="2"/>
      <c r="K141" s="2"/>
      <c r="L141" s="2"/>
      <c r="M141" s="2"/>
      <c r="N141" s="2"/>
      <c r="O141" s="2"/>
      <c r="P141" s="2"/>
      <c r="Q141" s="2"/>
      <c r="R141" s="2"/>
      <c r="S141" s="2"/>
      <c r="T141" s="2"/>
      <c r="U141" s="2"/>
      <c r="V141" s="2"/>
      <c r="W141" s="2"/>
      <c r="X141" s="2"/>
      <c r="Y141" s="2"/>
      <c r="Z141" s="2"/>
      <c r="AA141" s="2"/>
      <c r="AB141" s="2"/>
    </row>
    <row r="142" spans="3:28" x14ac:dyDescent="0.2">
      <c r="C142" s="35" t="s">
        <v>13</v>
      </c>
      <c r="D142" s="35"/>
      <c r="E142" s="35">
        <v>2017</v>
      </c>
      <c r="F142" s="35">
        <v>2018</v>
      </c>
      <c r="G142" s="35">
        <v>2019</v>
      </c>
      <c r="H142" s="12" t="s">
        <v>23</v>
      </c>
      <c r="I142" s="12" t="s">
        <v>24</v>
      </c>
      <c r="J142" s="12" t="s">
        <v>25</v>
      </c>
      <c r="K142" s="12" t="s">
        <v>27</v>
      </c>
      <c r="L142" s="35">
        <v>2020</v>
      </c>
      <c r="M142" s="12" t="s">
        <v>21</v>
      </c>
      <c r="N142" s="12" t="s">
        <v>22</v>
      </c>
      <c r="O142" s="12" t="s">
        <v>28</v>
      </c>
      <c r="P142" s="12" t="s">
        <v>26</v>
      </c>
      <c r="Q142" s="35">
        <v>2021</v>
      </c>
      <c r="R142" s="12" t="s">
        <v>30</v>
      </c>
      <c r="S142" s="12" t="s">
        <v>31</v>
      </c>
      <c r="T142" s="12" t="s">
        <v>32</v>
      </c>
      <c r="U142" s="12" t="s">
        <v>33</v>
      </c>
      <c r="V142" s="35">
        <v>2022</v>
      </c>
      <c r="W142" s="12" t="s">
        <v>34</v>
      </c>
      <c r="X142" s="12" t="s">
        <v>35</v>
      </c>
      <c r="Y142" s="12" t="s">
        <v>36</v>
      </c>
      <c r="Z142" s="12" t="s">
        <v>37</v>
      </c>
      <c r="AA142" s="35">
        <f>+V142+1</f>
        <v>2023</v>
      </c>
      <c r="AB142" s="35">
        <f>+AA142+1</f>
        <v>2024</v>
      </c>
    </row>
    <row r="143" spans="3:28" x14ac:dyDescent="0.2">
      <c r="C143" s="1" t="s">
        <v>156</v>
      </c>
      <c r="E143" s="2">
        <f>+E20</f>
        <v>72760</v>
      </c>
      <c r="F143" s="2">
        <f>+F20</f>
        <v>240256</v>
      </c>
      <c r="G143" s="2">
        <f>+G20</f>
        <v>261057</v>
      </c>
      <c r="H143" s="2">
        <f>+H20</f>
        <v>0</v>
      </c>
      <c r="I143" s="2">
        <f>+I20</f>
        <v>0</v>
      </c>
      <c r="J143" s="2">
        <f>+J20</f>
        <v>0</v>
      </c>
      <c r="K143" s="2">
        <f>+K20</f>
        <v>0</v>
      </c>
      <c r="L143" s="2">
        <f>+L20</f>
        <v>327160</v>
      </c>
      <c r="M143" s="2">
        <f>+M20</f>
        <v>0</v>
      </c>
      <c r="N143" s="2">
        <f>+N20</f>
        <v>0</v>
      </c>
      <c r="O143" s="2">
        <f>+O20</f>
        <v>0</v>
      </c>
      <c r="P143" s="2">
        <f>+P20</f>
        <v>0</v>
      </c>
      <c r="Q143" s="2">
        <f>+Q20</f>
        <v>481652</v>
      </c>
      <c r="R143" s="2">
        <f>+R20</f>
        <v>89719</v>
      </c>
      <c r="S143" s="2">
        <f>+S20</f>
        <v>18604</v>
      </c>
      <c r="T143" s="2">
        <f>+T20</f>
        <v>156054</v>
      </c>
      <c r="U143" s="2">
        <f>+U20</f>
        <v>155039</v>
      </c>
      <c r="V143" s="2">
        <f>+V20</f>
        <v>419416</v>
      </c>
      <c r="W143" s="2">
        <f>+W20</f>
        <v>102292</v>
      </c>
      <c r="X143" s="2"/>
      <c r="Y143" s="2"/>
      <c r="Z143" s="2"/>
      <c r="AA143" s="2"/>
      <c r="AB143" s="2"/>
    </row>
    <row r="144" spans="3:28" x14ac:dyDescent="0.2">
      <c r="C144" s="1" t="s">
        <v>14</v>
      </c>
      <c r="E144" s="2">
        <v>28562</v>
      </c>
      <c r="F144" s="2">
        <v>36640</v>
      </c>
      <c r="G144" s="2">
        <v>45317</v>
      </c>
      <c r="H144" s="2"/>
      <c r="I144" s="2"/>
      <c r="J144" s="2"/>
      <c r="K144" s="2"/>
      <c r="L144" s="2">
        <v>62874</v>
      </c>
      <c r="M144" s="2"/>
      <c r="N144" s="2"/>
      <c r="O144" s="2"/>
      <c r="P144" s="2"/>
      <c r="Q144" s="2">
        <v>83401</v>
      </c>
      <c r="R144" s="2">
        <v>24259</v>
      </c>
      <c r="S144" s="2">
        <f>47250-R144</f>
        <v>22991</v>
      </c>
      <c r="T144" s="2">
        <f>69126-S144-R144</f>
        <v>21876</v>
      </c>
      <c r="U144" s="2">
        <f>+V144-T144-S144-R144</f>
        <v>23146</v>
      </c>
      <c r="V144" s="2">
        <v>92272</v>
      </c>
      <c r="W144" s="2">
        <v>22782</v>
      </c>
      <c r="X144" s="2"/>
      <c r="Y144" s="2"/>
      <c r="Z144" s="2"/>
      <c r="AA144" s="2"/>
      <c r="AB144" s="2"/>
    </row>
    <row r="145" spans="3:28" x14ac:dyDescent="0.2">
      <c r="C145" s="1" t="s">
        <v>179</v>
      </c>
      <c r="E145" s="2">
        <v>0</v>
      </c>
      <c r="F145" s="2">
        <v>0</v>
      </c>
      <c r="G145" s="2">
        <v>55859</v>
      </c>
      <c r="H145" s="2"/>
      <c r="I145" s="2"/>
      <c r="J145" s="2"/>
      <c r="K145" s="2"/>
      <c r="L145" s="2">
        <v>66369</v>
      </c>
      <c r="M145" s="2"/>
      <c r="N145" s="2"/>
      <c r="O145" s="2"/>
      <c r="P145" s="2"/>
      <c r="Q145" s="2">
        <v>61750</v>
      </c>
      <c r="R145" s="2">
        <v>14787</v>
      </c>
      <c r="S145" s="2">
        <f>26037-R145</f>
        <v>11250</v>
      </c>
      <c r="T145" s="2">
        <f>37336-S145-R145</f>
        <v>11299</v>
      </c>
      <c r="U145" s="2">
        <f t="shared" ref="U145:U158" si="15">+V145-T145-S145-R145</f>
        <v>10441</v>
      </c>
      <c r="V145" s="2">
        <v>47777</v>
      </c>
      <c r="W145" s="2">
        <v>10043</v>
      </c>
      <c r="X145" s="2"/>
      <c r="Y145" s="2"/>
      <c r="Z145" s="2"/>
      <c r="AA145" s="2"/>
      <c r="AB145" s="2"/>
    </row>
    <row r="146" spans="3:28" x14ac:dyDescent="0.2">
      <c r="C146" s="1" t="s">
        <v>157</v>
      </c>
      <c r="E146" s="2">
        <v>51</v>
      </c>
      <c r="F146" s="2">
        <v>848</v>
      </c>
      <c r="G146" s="2">
        <v>1619</v>
      </c>
      <c r="H146" s="2"/>
      <c r="I146" s="2"/>
      <c r="J146" s="2"/>
      <c r="K146" s="2"/>
      <c r="L146" s="2">
        <v>2253</v>
      </c>
      <c r="M146" s="2"/>
      <c r="N146" s="2"/>
      <c r="O146" s="2"/>
      <c r="P146" s="2"/>
      <c r="Q146" s="2">
        <v>2488</v>
      </c>
      <c r="R146" s="2">
        <v>8675</v>
      </c>
      <c r="S146" s="2">
        <f>11748-R146</f>
        <v>3073</v>
      </c>
      <c r="T146" s="2">
        <f>12888-S146-R146</f>
        <v>1140</v>
      </c>
      <c r="U146" s="2">
        <f t="shared" si="15"/>
        <v>-494</v>
      </c>
      <c r="V146" s="2">
        <v>12394</v>
      </c>
      <c r="W146" s="2">
        <v>182</v>
      </c>
      <c r="X146" s="2"/>
      <c r="Y146" s="2"/>
      <c r="Z146" s="2"/>
      <c r="AA146" s="2"/>
      <c r="AB146" s="2"/>
    </row>
    <row r="147" spans="3:28" x14ac:dyDescent="0.2">
      <c r="C147" s="1" t="s">
        <v>165</v>
      </c>
      <c r="E147" s="2">
        <v>12561</v>
      </c>
      <c r="F147" s="2">
        <v>-48000</v>
      </c>
      <c r="G147" s="2">
        <v>-7764</v>
      </c>
      <c r="H147" s="2"/>
      <c r="I147" s="2"/>
      <c r="J147" s="2"/>
      <c r="K147" s="2"/>
      <c r="L147" s="2">
        <v>-19994</v>
      </c>
      <c r="M147" s="2"/>
      <c r="N147" s="2"/>
      <c r="O147" s="2"/>
      <c r="P147" s="2"/>
      <c r="Q147" s="2">
        <v>-46900</v>
      </c>
      <c r="R147" s="2">
        <v>-10830</v>
      </c>
      <c r="S147" s="2">
        <f>-29405-R147</f>
        <v>-18575</v>
      </c>
      <c r="T147" s="2">
        <f>-54851-S147-R147</f>
        <v>-25446</v>
      </c>
      <c r="U147" s="2">
        <f t="shared" si="15"/>
        <v>12687</v>
      </c>
      <c r="V147" s="2">
        <v>-42164</v>
      </c>
      <c r="W147" s="2">
        <v>823</v>
      </c>
      <c r="X147" s="2"/>
      <c r="Y147" s="2"/>
      <c r="Z147" s="2"/>
      <c r="AA147" s="2"/>
      <c r="AB147" s="2"/>
    </row>
    <row r="148" spans="3:28" x14ac:dyDescent="0.2">
      <c r="C148" s="1" t="s">
        <v>126</v>
      </c>
      <c r="E148" s="2">
        <v>52407</v>
      </c>
      <c r="F148" s="2">
        <v>59188</v>
      </c>
      <c r="G148" s="2">
        <v>72036</v>
      </c>
      <c r="H148" s="2"/>
      <c r="I148" s="2"/>
      <c r="J148" s="2"/>
      <c r="K148" s="2"/>
      <c r="L148" s="2">
        <v>75238</v>
      </c>
      <c r="M148" s="2"/>
      <c r="N148" s="2"/>
      <c r="O148" s="2"/>
      <c r="P148" s="2"/>
      <c r="Q148" s="2">
        <v>111655</v>
      </c>
      <c r="R148" s="2">
        <v>7112</v>
      </c>
      <c r="S148" s="2">
        <f>35005-R148</f>
        <v>27893</v>
      </c>
      <c r="T148" s="2">
        <f>68292-S148-R148</f>
        <v>33287</v>
      </c>
      <c r="U148" s="2">
        <f t="shared" si="15"/>
        <v>31617</v>
      </c>
      <c r="V148" s="2">
        <v>99909</v>
      </c>
      <c r="W148" s="2">
        <v>38579</v>
      </c>
      <c r="X148" s="2"/>
      <c r="Y148" s="2"/>
      <c r="Z148" s="2"/>
      <c r="AA148" s="2"/>
      <c r="AB148" s="2"/>
    </row>
    <row r="149" spans="3:28" x14ac:dyDescent="0.2">
      <c r="C149" s="1" t="s">
        <v>158</v>
      </c>
      <c r="E149" s="2">
        <v>0</v>
      </c>
      <c r="F149" s="2">
        <v>0</v>
      </c>
      <c r="G149" s="2">
        <v>0</v>
      </c>
      <c r="H149" s="2"/>
      <c r="I149" s="2"/>
      <c r="J149" s="2"/>
      <c r="K149" s="2"/>
      <c r="L149" s="2">
        <v>0</v>
      </c>
      <c r="M149" s="2"/>
      <c r="N149" s="2"/>
      <c r="O149" s="2"/>
      <c r="P149" s="2"/>
      <c r="Q149" s="2">
        <v>0</v>
      </c>
      <c r="R149" s="2">
        <v>41369</v>
      </c>
      <c r="S149" s="2">
        <f>32013-R149</f>
        <v>-9356</v>
      </c>
      <c r="T149" s="2">
        <f>20469-S149-R149</f>
        <v>-11544</v>
      </c>
      <c r="U149" s="2">
        <f t="shared" si="15"/>
        <v>-12565</v>
      </c>
      <c r="V149" s="2">
        <v>7904</v>
      </c>
      <c r="W149" s="2">
        <v>-7904</v>
      </c>
      <c r="X149" s="2"/>
      <c r="Y149" s="2"/>
      <c r="Z149" s="2"/>
      <c r="AA149" s="2"/>
      <c r="AB149" s="2"/>
    </row>
    <row r="150" spans="3:28" x14ac:dyDescent="0.2">
      <c r="C150" s="1" t="s">
        <v>159</v>
      </c>
      <c r="E150" s="2">
        <v>0</v>
      </c>
      <c r="F150" s="2">
        <v>0</v>
      </c>
      <c r="G150" s="2">
        <v>0</v>
      </c>
      <c r="H150" s="2"/>
      <c r="I150" s="2"/>
      <c r="J150" s="2"/>
      <c r="K150" s="2"/>
      <c r="L150" s="2">
        <v>0</v>
      </c>
      <c r="M150" s="2"/>
      <c r="N150" s="2"/>
      <c r="O150" s="2"/>
      <c r="P150" s="2"/>
      <c r="Q150" s="2">
        <v>144</v>
      </c>
      <c r="R150" s="2">
        <v>20401</v>
      </c>
      <c r="S150" s="2">
        <f>21002-R150</f>
        <v>601</v>
      </c>
      <c r="T150" s="2">
        <f>21212-S150-R150</f>
        <v>210</v>
      </c>
      <c r="U150" s="2">
        <f t="shared" si="15"/>
        <v>2407</v>
      </c>
      <c r="V150" s="2">
        <v>23619</v>
      </c>
      <c r="W150" s="2">
        <v>88</v>
      </c>
      <c r="X150" s="2"/>
      <c r="Y150" s="2"/>
      <c r="Z150" s="2"/>
      <c r="AA150" s="2"/>
      <c r="AB150" s="2"/>
    </row>
    <row r="151" spans="3:28" x14ac:dyDescent="0.2">
      <c r="C151" s="1" t="s">
        <v>160</v>
      </c>
      <c r="E151" s="2">
        <v>-4010</v>
      </c>
      <c r="F151" s="2">
        <v>-1712</v>
      </c>
      <c r="G151" s="2">
        <v>4764</v>
      </c>
      <c r="H151" s="2"/>
      <c r="I151" s="2"/>
      <c r="J151" s="2"/>
      <c r="K151" s="2"/>
      <c r="L151" s="2">
        <v>6796</v>
      </c>
      <c r="M151" s="2"/>
      <c r="N151" s="2"/>
      <c r="O151" s="2"/>
      <c r="P151" s="2"/>
      <c r="Q151" s="2">
        <v>12993</v>
      </c>
      <c r="R151" s="2">
        <v>3361</v>
      </c>
      <c r="S151" s="2">
        <f>75433-R151</f>
        <v>72072</v>
      </c>
      <c r="T151" s="2">
        <f>63914-S151-R151</f>
        <v>-11519</v>
      </c>
      <c r="U151" s="2">
        <f t="shared" si="15"/>
        <v>-31108</v>
      </c>
      <c r="V151" s="2">
        <v>32806</v>
      </c>
      <c r="W151" s="2">
        <v>-3268</v>
      </c>
      <c r="X151" s="2"/>
      <c r="Y151" s="2"/>
      <c r="Z151" s="2"/>
      <c r="AA151" s="2"/>
      <c r="AB151" s="2"/>
    </row>
    <row r="152" spans="3:28" x14ac:dyDescent="0.2">
      <c r="C152" s="1" t="s">
        <v>163</v>
      </c>
      <c r="E152" s="2">
        <v>0</v>
      </c>
      <c r="F152" s="2">
        <v>0</v>
      </c>
      <c r="G152" s="2">
        <v>-53419</v>
      </c>
      <c r="H152" s="2"/>
      <c r="I152" s="2"/>
      <c r="J152" s="2"/>
      <c r="K152" s="2"/>
      <c r="L152" s="2">
        <v>-64453</v>
      </c>
      <c r="M152" s="2"/>
      <c r="N152" s="2"/>
      <c r="O152" s="2"/>
      <c r="P152" s="2"/>
      <c r="Q152" s="2">
        <v>-63812</v>
      </c>
      <c r="R152" s="2">
        <v>-14171</v>
      </c>
      <c r="S152" s="2">
        <f>-29015-R152</f>
        <v>-14844</v>
      </c>
      <c r="T152" s="2">
        <f>-41395-S152-R152</f>
        <v>-12380</v>
      </c>
      <c r="U152" s="2">
        <f t="shared" si="15"/>
        <v>-10273</v>
      </c>
      <c r="V152" s="2">
        <v>-51668</v>
      </c>
      <c r="W152" s="2">
        <v>-10672</v>
      </c>
      <c r="X152" s="2"/>
      <c r="Y152" s="2"/>
      <c r="Z152" s="2"/>
      <c r="AA152" s="2"/>
      <c r="AB152" s="2"/>
    </row>
    <row r="153" spans="3:28" x14ac:dyDescent="0.2">
      <c r="C153" s="3" t="s">
        <v>161</v>
      </c>
      <c r="E153" s="5">
        <f t="shared" ref="E153:U153" si="16">SUM(E154:E158)</f>
        <v>30489</v>
      </c>
      <c r="F153" s="5">
        <f t="shared" si="16"/>
        <v>4998</v>
      </c>
      <c r="G153" s="5">
        <f t="shared" si="16"/>
        <v>-92016</v>
      </c>
      <c r="H153" s="5">
        <f t="shared" si="16"/>
        <v>0</v>
      </c>
      <c r="I153" s="5">
        <f t="shared" si="16"/>
        <v>0</v>
      </c>
      <c r="J153" s="5">
        <f t="shared" si="16"/>
        <v>0</v>
      </c>
      <c r="K153" s="5">
        <f t="shared" si="16"/>
        <v>0</v>
      </c>
      <c r="L153" s="5">
        <f t="shared" si="16"/>
        <v>88164</v>
      </c>
      <c r="M153" s="5">
        <f t="shared" si="16"/>
        <v>0</v>
      </c>
      <c r="N153" s="5">
        <f t="shared" si="16"/>
        <v>0</v>
      </c>
      <c r="O153" s="5">
        <f t="shared" si="16"/>
        <v>0</v>
      </c>
      <c r="P153" s="5">
        <f t="shared" si="16"/>
        <v>0</v>
      </c>
      <c r="Q153" s="5">
        <f t="shared" si="16"/>
        <v>-71044</v>
      </c>
      <c r="R153" s="5">
        <f t="shared" si="16"/>
        <v>-236530</v>
      </c>
      <c r="S153" s="5">
        <f t="shared" si="16"/>
        <v>-36194</v>
      </c>
      <c r="T153" s="5">
        <f t="shared" si="16"/>
        <v>89391</v>
      </c>
      <c r="U153" s="5">
        <f t="shared" si="16"/>
        <v>5172</v>
      </c>
      <c r="V153" s="5">
        <f>SUM(V154:V158)</f>
        <v>-178161</v>
      </c>
      <c r="W153" s="5">
        <f>SUM(W154:W158)</f>
        <v>-65611</v>
      </c>
      <c r="X153" s="2"/>
      <c r="Y153" s="2"/>
      <c r="Z153" s="2"/>
      <c r="AA153" s="5">
        <f>SUM(AA154:AA158)</f>
        <v>0</v>
      </c>
      <c r="AB153" s="5">
        <f>SUM(AB154:AB158)</f>
        <v>0</v>
      </c>
    </row>
    <row r="154" spans="3:28" x14ac:dyDescent="0.2">
      <c r="C154" s="1" t="s">
        <v>102</v>
      </c>
      <c r="E154" s="2">
        <f>-58745-22743</f>
        <v>-81488</v>
      </c>
      <c r="F154" s="2">
        <f>-31005-15897</f>
        <v>-46902</v>
      </c>
      <c r="G154" s="2">
        <v>-87174</v>
      </c>
      <c r="H154" s="2"/>
      <c r="I154" s="2"/>
      <c r="J154" s="2"/>
      <c r="K154" s="2"/>
      <c r="L154" s="2">
        <v>4235</v>
      </c>
      <c r="M154" s="2"/>
      <c r="N154" s="2"/>
      <c r="O154" s="2"/>
      <c r="P154" s="2"/>
      <c r="Q154" s="2">
        <v>-211684</v>
      </c>
      <c r="R154" s="2">
        <v>-144783</v>
      </c>
      <c r="S154" s="2">
        <f>-183143-R154</f>
        <v>-38360</v>
      </c>
      <c r="T154" s="2">
        <f>-196675-S154-R154</f>
        <v>-13532</v>
      </c>
      <c r="U154" s="2">
        <f t="shared" si="15"/>
        <v>3963</v>
      </c>
      <c r="V154" s="2">
        <v>-192712</v>
      </c>
      <c r="W154" s="2">
        <v>-3573</v>
      </c>
      <c r="X154" s="2"/>
      <c r="Y154" s="2"/>
      <c r="Z154" s="2"/>
      <c r="AA154" s="2"/>
      <c r="AB154" s="2"/>
    </row>
    <row r="155" spans="3:28" x14ac:dyDescent="0.2">
      <c r="C155" s="1" t="s">
        <v>162</v>
      </c>
      <c r="E155" s="2">
        <v>1061</v>
      </c>
      <c r="F155" s="2">
        <v>-8432</v>
      </c>
      <c r="G155" s="2">
        <v>-7155</v>
      </c>
      <c r="H155" s="2"/>
      <c r="I155" s="2"/>
      <c r="J155" s="2"/>
      <c r="K155" s="2"/>
      <c r="L155" s="2">
        <v>6983</v>
      </c>
      <c r="M155" s="2"/>
      <c r="N155" s="2"/>
      <c r="O155" s="2"/>
      <c r="P155" s="2"/>
      <c r="Q155" s="2">
        <v>-16182</v>
      </c>
      <c r="R155" s="2">
        <v>-9515</v>
      </c>
      <c r="S155" s="2">
        <f>-3350-R155</f>
        <v>6165</v>
      </c>
      <c r="T155" s="2">
        <f>-7787-S155-R155</f>
        <v>-4437</v>
      </c>
      <c r="U155" s="2">
        <f t="shared" si="15"/>
        <v>-4353</v>
      </c>
      <c r="V155" s="2">
        <v>-12140</v>
      </c>
      <c r="W155" s="2">
        <v>-105</v>
      </c>
      <c r="X155" s="2"/>
      <c r="Y155" s="2"/>
      <c r="Z155" s="2"/>
      <c r="AA155" s="2"/>
      <c r="AB155" s="2"/>
    </row>
    <row r="156" spans="3:28" x14ac:dyDescent="0.2">
      <c r="C156" s="1" t="s">
        <v>107</v>
      </c>
      <c r="E156" s="2">
        <v>1221</v>
      </c>
      <c r="F156" s="2">
        <v>-772</v>
      </c>
      <c r="G156" s="2">
        <v>-1685</v>
      </c>
      <c r="H156" s="2"/>
      <c r="I156" s="2"/>
      <c r="J156" s="2"/>
      <c r="K156" s="2"/>
      <c r="L156" s="2">
        <v>2428</v>
      </c>
      <c r="M156" s="2"/>
      <c r="N156" s="2"/>
      <c r="O156" s="2"/>
      <c r="P156" s="2"/>
      <c r="Q156" s="2">
        <v>-2403</v>
      </c>
      <c r="R156" s="2">
        <v>-4633</v>
      </c>
      <c r="S156" s="2">
        <f>725-R156</f>
        <v>5358</v>
      </c>
      <c r="T156" s="2">
        <f>8769-S156-R156</f>
        <v>8044</v>
      </c>
      <c r="U156" s="2">
        <f t="shared" si="15"/>
        <v>-11703</v>
      </c>
      <c r="V156" s="2">
        <v>-2934</v>
      </c>
      <c r="W156" s="2">
        <v>1494</v>
      </c>
      <c r="X156" s="2"/>
      <c r="Y156" s="2"/>
      <c r="Z156" s="2"/>
      <c r="AA156" s="2"/>
      <c r="AB156" s="2"/>
    </row>
    <row r="157" spans="3:28" x14ac:dyDescent="0.2">
      <c r="C157" s="1" t="s">
        <v>180</v>
      </c>
      <c r="E157" s="2">
        <f>37282+1933</f>
        <v>39215</v>
      </c>
      <c r="F157" s="2">
        <f>41929+1535</f>
        <v>43464</v>
      </c>
      <c r="G157" s="2">
        <v>27125</v>
      </c>
      <c r="H157" s="2"/>
      <c r="I157" s="2"/>
      <c r="J157" s="2"/>
      <c r="K157" s="2"/>
      <c r="L157" s="2">
        <v>60133</v>
      </c>
      <c r="M157" s="2"/>
      <c r="N157" s="2"/>
      <c r="O157" s="2"/>
      <c r="P157" s="2"/>
      <c r="Q157" s="2">
        <v>155657</v>
      </c>
      <c r="R157" s="2">
        <v>-74929</v>
      </c>
      <c r="S157" s="2">
        <f>-62153-R157</f>
        <v>12776</v>
      </c>
      <c r="T157" s="2">
        <f>-7100-S157-R157</f>
        <v>55053</v>
      </c>
      <c r="U157" s="2">
        <f t="shared" si="15"/>
        <v>33125</v>
      </c>
      <c r="V157" s="2">
        <v>26025</v>
      </c>
      <c r="W157" s="2">
        <v>-58463</v>
      </c>
      <c r="X157" s="2"/>
      <c r="Y157" s="2"/>
      <c r="Z157" s="2"/>
      <c r="AA157" s="2"/>
      <c r="AB157" s="2"/>
    </row>
    <row r="158" spans="3:28" x14ac:dyDescent="0.2">
      <c r="C158" s="1" t="s">
        <v>164</v>
      </c>
      <c r="E158" s="2">
        <v>70480</v>
      </c>
      <c r="F158" s="2">
        <v>17640</v>
      </c>
      <c r="G158" s="2">
        <v>-23127</v>
      </c>
      <c r="H158" s="2"/>
      <c r="I158" s="2"/>
      <c r="J158" s="2"/>
      <c r="K158" s="2"/>
      <c r="L158" s="2">
        <v>14385</v>
      </c>
      <c r="M158" s="2"/>
      <c r="N158" s="2"/>
      <c r="O158" s="2"/>
      <c r="P158" s="2"/>
      <c r="Q158" s="2">
        <v>3568</v>
      </c>
      <c r="R158" s="2">
        <v>-2670</v>
      </c>
      <c r="S158" s="2">
        <f>-24803-R158</f>
        <v>-22133</v>
      </c>
      <c r="T158" s="2">
        <f>19460-S158-R158</f>
        <v>44263</v>
      </c>
      <c r="U158" s="2">
        <f t="shared" si="15"/>
        <v>-15860</v>
      </c>
      <c r="V158" s="2">
        <v>3600</v>
      </c>
      <c r="W158" s="2">
        <v>-4964</v>
      </c>
      <c r="X158" s="2"/>
      <c r="Y158" s="2"/>
      <c r="Z158" s="2"/>
      <c r="AA158" s="2"/>
      <c r="AB158" s="2"/>
    </row>
    <row r="159" spans="3:28" x14ac:dyDescent="0.2">
      <c r="C159" s="4" t="s">
        <v>15</v>
      </c>
      <c r="D159" s="4"/>
      <c r="E159" s="6">
        <f t="shared" ref="E159:U159" si="17">SUM(E143:E153)</f>
        <v>192820</v>
      </c>
      <c r="F159" s="6">
        <f>SUM(F143:F153)</f>
        <v>292218</v>
      </c>
      <c r="G159" s="6">
        <f t="shared" si="17"/>
        <v>287453</v>
      </c>
      <c r="H159" s="6">
        <f t="shared" si="17"/>
        <v>0</v>
      </c>
      <c r="I159" s="6">
        <f t="shared" si="17"/>
        <v>0</v>
      </c>
      <c r="J159" s="6">
        <f t="shared" si="17"/>
        <v>0</v>
      </c>
      <c r="K159" s="6">
        <f t="shared" si="17"/>
        <v>0</v>
      </c>
      <c r="L159" s="6">
        <f t="shared" si="17"/>
        <v>544407</v>
      </c>
      <c r="M159" s="6">
        <f t="shared" si="17"/>
        <v>0</v>
      </c>
      <c r="N159" s="6">
        <f t="shared" si="17"/>
        <v>0</v>
      </c>
      <c r="O159" s="6">
        <f t="shared" si="17"/>
        <v>0</v>
      </c>
      <c r="P159" s="6">
        <f t="shared" si="17"/>
        <v>0</v>
      </c>
      <c r="Q159" s="6">
        <f t="shared" si="17"/>
        <v>572327</v>
      </c>
      <c r="R159" s="6">
        <f t="shared" si="17"/>
        <v>-51848</v>
      </c>
      <c r="S159" s="6">
        <f t="shared" si="17"/>
        <v>77515</v>
      </c>
      <c r="T159" s="6">
        <f t="shared" si="17"/>
        <v>252368</v>
      </c>
      <c r="U159" s="6">
        <f t="shared" si="17"/>
        <v>186069</v>
      </c>
      <c r="V159" s="6">
        <f>SUM(V143:V153)</f>
        <v>464104</v>
      </c>
      <c r="W159" s="6">
        <f>SUM(W143:W153)</f>
        <v>87334</v>
      </c>
      <c r="X159" s="6">
        <f>SUM(X143:X158)</f>
        <v>0</v>
      </c>
      <c r="Y159" s="6">
        <f>SUM(Y143:Y158)</f>
        <v>0</v>
      </c>
      <c r="Z159" s="6">
        <f>SUM(Z143:Z158)</f>
        <v>0</v>
      </c>
      <c r="AA159" s="6">
        <f>SUM(AA143:AA153)</f>
        <v>0</v>
      </c>
      <c r="AB159" s="6">
        <f>SUM(AB143:AB153)</f>
        <v>0</v>
      </c>
    </row>
    <row r="160" spans="3:28" x14ac:dyDescent="0.2">
      <c r="G160" s="2"/>
      <c r="H160" s="2"/>
      <c r="I160" s="2"/>
      <c r="J160" s="2"/>
      <c r="K160" s="2"/>
      <c r="L160" s="2"/>
      <c r="M160" s="2"/>
      <c r="N160" s="2"/>
      <c r="O160" s="2"/>
      <c r="P160" s="2"/>
      <c r="Q160" s="2"/>
      <c r="R160" s="2"/>
      <c r="S160" s="2"/>
      <c r="T160" s="2"/>
      <c r="U160" s="2"/>
      <c r="V160" s="2"/>
      <c r="W160" s="2"/>
      <c r="X160" s="2"/>
      <c r="Y160" s="2"/>
      <c r="Z160" s="2"/>
      <c r="AA160" s="2"/>
      <c r="AB160" s="2"/>
    </row>
    <row r="161" spans="3:28" x14ac:dyDescent="0.2">
      <c r="C161" s="1" t="s">
        <v>166</v>
      </c>
      <c r="E161" s="2">
        <v>-29806</v>
      </c>
      <c r="F161" s="2">
        <v>-37574</v>
      </c>
      <c r="G161" s="2">
        <v>-99308</v>
      </c>
      <c r="H161" s="2"/>
      <c r="I161" s="2"/>
      <c r="J161" s="2"/>
      <c r="K161" s="2"/>
      <c r="L161" s="2">
        <v>-68793</v>
      </c>
      <c r="M161" s="2"/>
      <c r="N161" s="2"/>
      <c r="O161" s="2"/>
      <c r="P161" s="2"/>
      <c r="Q161" s="2">
        <v>-111501</v>
      </c>
      <c r="R161" s="2">
        <v>-23274</v>
      </c>
      <c r="S161" s="2">
        <f>-41426-R161</f>
        <v>-18152</v>
      </c>
      <c r="T161" s="2">
        <f>-60134-S161-R161</f>
        <v>-18708</v>
      </c>
      <c r="U161" s="2">
        <f t="shared" ref="U161:U166" si="18">+V161-T161-S161-R161</f>
        <v>-21495</v>
      </c>
      <c r="V161" s="2">
        <v>-81629</v>
      </c>
      <c r="W161" s="2">
        <v>-7913</v>
      </c>
      <c r="X161" s="2"/>
      <c r="Y161" s="2"/>
      <c r="Z161" s="2"/>
      <c r="AA161" s="2"/>
      <c r="AB161" s="2"/>
    </row>
    <row r="162" spans="3:28" x14ac:dyDescent="0.2">
      <c r="C162" s="1" t="s">
        <v>167</v>
      </c>
      <c r="E162" s="2">
        <v>0</v>
      </c>
      <c r="F162" s="2">
        <v>0</v>
      </c>
      <c r="G162" s="2">
        <v>0</v>
      </c>
      <c r="H162" s="2"/>
      <c r="I162" s="2"/>
      <c r="J162" s="2"/>
      <c r="K162" s="2"/>
      <c r="L162" s="2">
        <v>-120000</v>
      </c>
      <c r="M162" s="2"/>
      <c r="N162" s="2"/>
      <c r="O162" s="2"/>
      <c r="P162" s="2"/>
      <c r="Q162" s="2">
        <v>0</v>
      </c>
      <c r="R162" s="2">
        <v>0</v>
      </c>
      <c r="S162" s="2">
        <f>-60000-R162</f>
        <v>-60000</v>
      </c>
      <c r="T162" s="2">
        <f>-60000-S162-R162</f>
        <v>0</v>
      </c>
      <c r="U162" s="2">
        <f t="shared" si="18"/>
        <v>0</v>
      </c>
      <c r="V162" s="2">
        <v>-60000</v>
      </c>
      <c r="W162" s="2">
        <v>0</v>
      </c>
      <c r="X162" s="2"/>
      <c r="Y162" s="2"/>
      <c r="Z162" s="2"/>
      <c r="AA162" s="2"/>
      <c r="AB162" s="2"/>
    </row>
    <row r="163" spans="3:28" x14ac:dyDescent="0.2">
      <c r="C163" s="1" t="s">
        <v>168</v>
      </c>
      <c r="E163" s="2">
        <v>0</v>
      </c>
      <c r="F163" s="2">
        <v>418</v>
      </c>
      <c r="G163" s="2">
        <v>0</v>
      </c>
      <c r="H163" s="2"/>
      <c r="I163" s="2"/>
      <c r="J163" s="2"/>
      <c r="K163" s="2"/>
      <c r="L163" s="2">
        <v>60009</v>
      </c>
      <c r="M163" s="2"/>
      <c r="N163" s="2"/>
      <c r="O163" s="2"/>
      <c r="P163" s="2"/>
      <c r="Q163" s="2">
        <v>60000</v>
      </c>
      <c r="R163" s="2">
        <v>0</v>
      </c>
      <c r="S163" s="2">
        <v>0</v>
      </c>
      <c r="T163" s="2">
        <v>0</v>
      </c>
      <c r="U163" s="2">
        <f t="shared" si="18"/>
        <v>0</v>
      </c>
      <c r="V163" s="2">
        <v>0</v>
      </c>
      <c r="W163" s="2">
        <v>0</v>
      </c>
      <c r="X163" s="2"/>
      <c r="Y163" s="2"/>
      <c r="Z163" s="2"/>
      <c r="AA163" s="2"/>
      <c r="AB163" s="2"/>
    </row>
    <row r="164" spans="3:28" x14ac:dyDescent="0.2">
      <c r="C164" s="1" t="s">
        <v>169</v>
      </c>
      <c r="E164" s="2">
        <v>-6810</v>
      </c>
      <c r="F164" s="2">
        <v>-74268</v>
      </c>
      <c r="G164" s="2">
        <v>-39322</v>
      </c>
      <c r="H164" s="2"/>
      <c r="I164" s="2"/>
      <c r="J164" s="2"/>
      <c r="K164" s="2"/>
      <c r="L164" s="2">
        <v>-18888</v>
      </c>
      <c r="M164" s="2"/>
      <c r="N164" s="2"/>
      <c r="O164" s="2"/>
      <c r="P164" s="2"/>
      <c r="Q164" s="2">
        <v>-314958</v>
      </c>
      <c r="R164" s="2">
        <v>-8207</v>
      </c>
      <c r="S164" s="2">
        <f>-10621-R164</f>
        <v>-2414</v>
      </c>
      <c r="T164" s="2">
        <f>-10530-S164-R164</f>
        <v>91</v>
      </c>
      <c r="U164" s="2">
        <f t="shared" si="18"/>
        <v>-114</v>
      </c>
      <c r="V164" s="2">
        <v>-10644</v>
      </c>
      <c r="W164" s="2">
        <v>0</v>
      </c>
      <c r="X164" s="2"/>
      <c r="Y164" s="2"/>
      <c r="Z164" s="2"/>
      <c r="AA164" s="2"/>
      <c r="AB164" s="2"/>
    </row>
    <row r="165" spans="3:28" x14ac:dyDescent="0.2">
      <c r="C165" s="1" t="s">
        <v>170</v>
      </c>
      <c r="E165" s="2">
        <v>0</v>
      </c>
      <c r="F165" s="2">
        <v>0</v>
      </c>
      <c r="G165" s="2">
        <v>-5000</v>
      </c>
      <c r="H165" s="2"/>
      <c r="I165" s="2"/>
      <c r="J165" s="2"/>
      <c r="K165" s="2"/>
      <c r="L165" s="2">
        <v>-20500</v>
      </c>
      <c r="M165" s="2"/>
      <c r="N165" s="2"/>
      <c r="O165" s="2"/>
      <c r="P165" s="2"/>
      <c r="Q165" s="2">
        <v>-2544</v>
      </c>
      <c r="R165" s="2">
        <v>0</v>
      </c>
      <c r="S165" s="2">
        <v>0</v>
      </c>
      <c r="T165" s="2">
        <f>-1625-S165-R165</f>
        <v>-1625</v>
      </c>
      <c r="U165" s="2">
        <f t="shared" si="18"/>
        <v>0</v>
      </c>
      <c r="V165" s="2">
        <v>-1625</v>
      </c>
      <c r="W165" s="2">
        <v>-1906</v>
      </c>
      <c r="X165" s="2"/>
      <c r="Y165" s="2"/>
      <c r="Z165" s="2"/>
      <c r="AA165" s="2"/>
      <c r="AB165" s="2"/>
    </row>
    <row r="166" spans="3:28" x14ac:dyDescent="0.2">
      <c r="C166" s="1" t="s">
        <v>171</v>
      </c>
      <c r="E166" s="2">
        <v>465</v>
      </c>
      <c r="F166" s="2">
        <v>-699</v>
      </c>
      <c r="G166" s="2">
        <v>-1739</v>
      </c>
      <c r="H166" s="2"/>
      <c r="I166" s="2"/>
      <c r="J166" s="2"/>
      <c r="K166" s="2"/>
      <c r="L166" s="2">
        <v>1018</v>
      </c>
      <c r="M166" s="2"/>
      <c r="N166" s="2"/>
      <c r="O166" s="2"/>
      <c r="P166" s="2"/>
      <c r="Q166" s="2">
        <v>79</v>
      </c>
      <c r="R166" s="2">
        <v>-3082</v>
      </c>
      <c r="S166" s="2">
        <f>-11041-R166</f>
        <v>-7959</v>
      </c>
      <c r="T166" s="2">
        <f>-19499-S166-R166</f>
        <v>-8458</v>
      </c>
      <c r="U166" s="2">
        <f t="shared" si="18"/>
        <v>-9530</v>
      </c>
      <c r="V166" s="2">
        <v>-29029</v>
      </c>
      <c r="W166" s="2">
        <v>-7898</v>
      </c>
      <c r="X166" s="2"/>
      <c r="Y166" s="2"/>
      <c r="Z166" s="2"/>
      <c r="AA166" s="2"/>
      <c r="AB166" s="2"/>
    </row>
    <row r="167" spans="3:28" x14ac:dyDescent="0.2">
      <c r="C167" s="4" t="s">
        <v>16</v>
      </c>
      <c r="D167" s="4"/>
      <c r="E167" s="6">
        <f t="shared" ref="E167" si="19">SUM(E161:E166)</f>
        <v>-36151</v>
      </c>
      <c r="F167" s="6">
        <f t="shared" ref="F167" si="20">SUM(F161:F166)</f>
        <v>-112123</v>
      </c>
      <c r="G167" s="6">
        <f t="shared" ref="G167:AB167" si="21">SUM(G161:G166)</f>
        <v>-145369</v>
      </c>
      <c r="H167" s="6">
        <f t="shared" si="21"/>
        <v>0</v>
      </c>
      <c r="I167" s="6">
        <f t="shared" si="21"/>
        <v>0</v>
      </c>
      <c r="J167" s="6">
        <f t="shared" si="21"/>
        <v>0</v>
      </c>
      <c r="K167" s="6">
        <f t="shared" si="21"/>
        <v>0</v>
      </c>
      <c r="L167" s="6">
        <f t="shared" si="21"/>
        <v>-167154</v>
      </c>
      <c r="M167" s="6">
        <f t="shared" si="21"/>
        <v>0</v>
      </c>
      <c r="N167" s="6">
        <f t="shared" si="21"/>
        <v>0</v>
      </c>
      <c r="O167" s="6">
        <f t="shared" si="21"/>
        <v>0</v>
      </c>
      <c r="P167" s="6">
        <f t="shared" si="21"/>
        <v>0</v>
      </c>
      <c r="Q167" s="6">
        <f t="shared" si="21"/>
        <v>-368924</v>
      </c>
      <c r="R167" s="6">
        <f t="shared" si="21"/>
        <v>-34563</v>
      </c>
      <c r="S167" s="6">
        <f t="shared" si="21"/>
        <v>-88525</v>
      </c>
      <c r="T167" s="6">
        <f t="shared" si="21"/>
        <v>-28700</v>
      </c>
      <c r="U167" s="6">
        <f t="shared" si="21"/>
        <v>-31139</v>
      </c>
      <c r="V167" s="6">
        <f t="shared" si="21"/>
        <v>-182927</v>
      </c>
      <c r="W167" s="6">
        <f t="shared" si="21"/>
        <v>-17717</v>
      </c>
      <c r="X167" s="6">
        <f t="shared" si="21"/>
        <v>0</v>
      </c>
      <c r="Y167" s="6">
        <f t="shared" si="21"/>
        <v>0</v>
      </c>
      <c r="Z167" s="6">
        <f t="shared" si="21"/>
        <v>0</v>
      </c>
      <c r="AA167" s="6">
        <f t="shared" si="21"/>
        <v>0</v>
      </c>
      <c r="AB167" s="6">
        <f t="shared" si="21"/>
        <v>0</v>
      </c>
    </row>
    <row r="168" spans="3:28" x14ac:dyDescent="0.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3:28" x14ac:dyDescent="0.2">
      <c r="C169" s="10" t="s">
        <v>46</v>
      </c>
      <c r="D169" s="10"/>
      <c r="E169" s="11">
        <f t="shared" ref="E169:U169" si="22">+E159+E161-E148</f>
        <v>110607</v>
      </c>
      <c r="F169" s="11">
        <f t="shared" si="22"/>
        <v>195456</v>
      </c>
      <c r="G169" s="11">
        <f t="shared" si="22"/>
        <v>116109</v>
      </c>
      <c r="H169" s="11">
        <f t="shared" si="22"/>
        <v>0</v>
      </c>
      <c r="I169" s="11">
        <f t="shared" si="22"/>
        <v>0</v>
      </c>
      <c r="J169" s="11">
        <f t="shared" si="22"/>
        <v>0</v>
      </c>
      <c r="K169" s="11">
        <f t="shared" si="22"/>
        <v>0</v>
      </c>
      <c r="L169" s="11">
        <f t="shared" si="22"/>
        <v>400376</v>
      </c>
      <c r="M169" s="11">
        <f t="shared" si="22"/>
        <v>0</v>
      </c>
      <c r="N169" s="11">
        <f t="shared" si="22"/>
        <v>0</v>
      </c>
      <c r="O169" s="11">
        <f t="shared" si="22"/>
        <v>0</v>
      </c>
      <c r="P169" s="11">
        <f t="shared" si="22"/>
        <v>0</v>
      </c>
      <c r="Q169" s="11">
        <f t="shared" si="22"/>
        <v>349171</v>
      </c>
      <c r="R169" s="11">
        <f t="shared" si="22"/>
        <v>-82234</v>
      </c>
      <c r="S169" s="11">
        <f t="shared" si="22"/>
        <v>31470</v>
      </c>
      <c r="T169" s="11">
        <f t="shared" si="22"/>
        <v>200373</v>
      </c>
      <c r="U169" s="11">
        <f t="shared" si="22"/>
        <v>132957</v>
      </c>
      <c r="V169" s="11">
        <f>+V159+V161-V148</f>
        <v>282566</v>
      </c>
      <c r="W169" s="11">
        <f t="shared" ref="W169:AB169" si="23">+W159+W161-W148</f>
        <v>40842</v>
      </c>
      <c r="X169" s="11">
        <f t="shared" si="23"/>
        <v>0</v>
      </c>
      <c r="Y169" s="11">
        <f t="shared" si="23"/>
        <v>0</v>
      </c>
      <c r="Z169" s="11">
        <f t="shared" si="23"/>
        <v>0</v>
      </c>
      <c r="AA169" s="11">
        <f t="shared" si="23"/>
        <v>0</v>
      </c>
      <c r="AB169" s="11">
        <f t="shared" si="23"/>
        <v>0</v>
      </c>
    </row>
    <row r="170" spans="3:28" x14ac:dyDescent="0.2">
      <c r="C170" s="10" t="s">
        <v>185</v>
      </c>
      <c r="D170" s="10"/>
      <c r="E170" s="11">
        <f t="shared" ref="E170:U170" si="24">+E169+E68</f>
        <v>184619</v>
      </c>
      <c r="F170" s="11">
        <f t="shared" si="24"/>
        <v>194235</v>
      </c>
      <c r="G170" s="11">
        <f t="shared" si="24"/>
        <v>84034</v>
      </c>
      <c r="H170" s="11">
        <f t="shared" si="24"/>
        <v>0</v>
      </c>
      <c r="I170" s="11">
        <f t="shared" si="24"/>
        <v>0</v>
      </c>
      <c r="J170" s="11">
        <f t="shared" si="24"/>
        <v>0</v>
      </c>
      <c r="K170" s="11">
        <f t="shared" si="24"/>
        <v>0</v>
      </c>
      <c r="L170" s="11">
        <f t="shared" si="24"/>
        <v>390784</v>
      </c>
      <c r="M170" s="11">
        <f t="shared" si="24"/>
        <v>0</v>
      </c>
      <c r="N170" s="11">
        <f t="shared" si="24"/>
        <v>0</v>
      </c>
      <c r="O170" s="11">
        <f t="shared" si="24"/>
        <v>0</v>
      </c>
      <c r="P170" s="11">
        <f t="shared" si="24"/>
        <v>0</v>
      </c>
      <c r="Q170" s="11">
        <f t="shared" si="24"/>
        <v>335325</v>
      </c>
      <c r="R170" s="11">
        <f t="shared" si="24"/>
        <v>-28830</v>
      </c>
      <c r="S170" s="11">
        <f t="shared" si="24"/>
        <v>124104</v>
      </c>
      <c r="T170" s="11">
        <f t="shared" si="24"/>
        <v>197652</v>
      </c>
      <c r="U170" s="11">
        <f t="shared" si="24"/>
        <v>114977</v>
      </c>
      <c r="V170" s="11">
        <f>+V169+V68</f>
        <v>407903</v>
      </c>
      <c r="W170" s="11">
        <f t="shared" ref="W170:AB170" si="25">+W169+W68</f>
        <v>46749</v>
      </c>
      <c r="X170" s="11">
        <f t="shared" si="25"/>
        <v>0</v>
      </c>
      <c r="Y170" s="11">
        <f t="shared" si="25"/>
        <v>0</v>
      </c>
      <c r="Z170" s="11">
        <f t="shared" si="25"/>
        <v>0</v>
      </c>
      <c r="AA170" s="11">
        <f t="shared" si="25"/>
        <v>0</v>
      </c>
      <c r="AB170" s="11">
        <f t="shared" si="25"/>
        <v>0</v>
      </c>
    </row>
    <row r="171" spans="3:28" x14ac:dyDescent="0.2">
      <c r="C171" s="33" t="s">
        <v>186</v>
      </c>
      <c r="D171" s="33"/>
      <c r="E171" s="34">
        <f>+E170-E17</f>
        <v>180018</v>
      </c>
      <c r="F171" s="34">
        <f>+F170-F17</f>
        <v>190713</v>
      </c>
      <c r="G171" s="34">
        <f>+G170-G17</f>
        <v>75309</v>
      </c>
      <c r="H171" s="34"/>
      <c r="I171" s="34"/>
      <c r="J171" s="34"/>
      <c r="K171" s="34"/>
      <c r="L171" s="34">
        <f>+L170-L17</f>
        <v>386962</v>
      </c>
      <c r="M171" s="34"/>
      <c r="N171" s="34"/>
      <c r="O171" s="34"/>
      <c r="P171" s="34"/>
      <c r="Q171" s="34">
        <f>+Q170-Q17</f>
        <v>337052</v>
      </c>
      <c r="R171" s="34">
        <f t="shared" ref="R171:U171" si="26">+R170-R17</f>
        <v>-28665</v>
      </c>
      <c r="S171" s="34">
        <f t="shared" si="26"/>
        <v>122525</v>
      </c>
      <c r="T171" s="34">
        <f t="shared" si="26"/>
        <v>193424</v>
      </c>
      <c r="U171" s="34">
        <f t="shared" si="26"/>
        <v>110594</v>
      </c>
      <c r="V171" s="34">
        <f>+V170-V17</f>
        <v>397878</v>
      </c>
      <c r="W171" s="34">
        <f t="shared" ref="W171:AB171" si="27">+W170-W17</f>
        <v>35228</v>
      </c>
      <c r="X171" s="34">
        <f t="shared" si="27"/>
        <v>0</v>
      </c>
      <c r="Y171" s="34">
        <f t="shared" si="27"/>
        <v>0</v>
      </c>
      <c r="Z171" s="34">
        <f t="shared" si="27"/>
        <v>0</v>
      </c>
      <c r="AA171" s="34">
        <f t="shared" si="27"/>
        <v>0</v>
      </c>
      <c r="AB171" s="34">
        <f t="shared" si="27"/>
        <v>0</v>
      </c>
    </row>
    <row r="172" spans="3:28" x14ac:dyDescent="0.2">
      <c r="C172" s="33" t="s">
        <v>182</v>
      </c>
      <c r="D172" s="33"/>
      <c r="E172" s="34">
        <f>+E171-E153</f>
        <v>149529</v>
      </c>
      <c r="F172" s="34">
        <f>+F171-F153</f>
        <v>185715</v>
      </c>
      <c r="G172" s="34">
        <f>+G171-G153</f>
        <v>167325</v>
      </c>
      <c r="H172" s="34"/>
      <c r="I172" s="34"/>
      <c r="J172" s="34"/>
      <c r="K172" s="34"/>
      <c r="L172" s="34">
        <f>+L171-L153</f>
        <v>298798</v>
      </c>
      <c r="M172" s="34"/>
      <c r="N172" s="34"/>
      <c r="O172" s="34"/>
      <c r="P172" s="34"/>
      <c r="Q172" s="34">
        <f>+Q171-Q153</f>
        <v>408096</v>
      </c>
      <c r="R172" s="34">
        <f t="shared" ref="R172:U172" si="28">+R171-R153</f>
        <v>207865</v>
      </c>
      <c r="S172" s="34">
        <f t="shared" si="28"/>
        <v>158719</v>
      </c>
      <c r="T172" s="34">
        <f t="shared" si="28"/>
        <v>104033</v>
      </c>
      <c r="U172" s="34">
        <f t="shared" si="28"/>
        <v>105422</v>
      </c>
      <c r="V172" s="34">
        <f>+V171-V153</f>
        <v>576039</v>
      </c>
      <c r="W172" s="34">
        <f t="shared" ref="W172:AB172" si="29">+W171-W153</f>
        <v>100839</v>
      </c>
      <c r="X172" s="34">
        <f t="shared" si="29"/>
        <v>0</v>
      </c>
      <c r="Y172" s="34">
        <f t="shared" si="29"/>
        <v>0</v>
      </c>
      <c r="Z172" s="34">
        <f t="shared" si="29"/>
        <v>0</v>
      </c>
      <c r="AA172" s="34">
        <f t="shared" si="29"/>
        <v>0</v>
      </c>
      <c r="AB172" s="34">
        <f t="shared" si="29"/>
        <v>0</v>
      </c>
    </row>
    <row r="173" spans="3:28" x14ac:dyDescent="0.2">
      <c r="C173" s="33" t="s">
        <v>183</v>
      </c>
      <c r="D173" s="33"/>
      <c r="E173" s="34">
        <f>+E172+E17+E178+E179</f>
        <v>154027</v>
      </c>
      <c r="F173" s="34">
        <f>+F172+F17+F178+F179</f>
        <v>185743</v>
      </c>
      <c r="G173" s="34">
        <f>+G172+G17+G178+G179</f>
        <v>176041</v>
      </c>
      <c r="H173" s="34"/>
      <c r="I173" s="34"/>
      <c r="J173" s="34"/>
      <c r="K173" s="34"/>
      <c r="L173" s="34">
        <f>+L172+L17+L178+L179</f>
        <v>302602</v>
      </c>
      <c r="M173" s="34"/>
      <c r="N173" s="34"/>
      <c r="O173" s="34"/>
      <c r="P173" s="34"/>
      <c r="Q173" s="34">
        <f>+Q172+Q17+Q178+Q179</f>
        <v>406424</v>
      </c>
      <c r="R173" s="34">
        <f t="shared" ref="R173:U173" si="30">+R172+R17+R178+R179</f>
        <v>202795</v>
      </c>
      <c r="S173" s="34">
        <f t="shared" si="30"/>
        <v>157674</v>
      </c>
      <c r="T173" s="34">
        <f t="shared" si="30"/>
        <v>108362</v>
      </c>
      <c r="U173" s="34">
        <f t="shared" si="30"/>
        <v>103454</v>
      </c>
      <c r="V173" s="34">
        <f>+V172+V17+V178+V179</f>
        <v>572285</v>
      </c>
      <c r="W173" s="34">
        <f t="shared" ref="W173:AB173" si="31">+W172+W17+W178+W179</f>
        <v>111121</v>
      </c>
      <c r="X173" s="34">
        <f t="shared" si="31"/>
        <v>0</v>
      </c>
      <c r="Y173" s="34">
        <f t="shared" si="31"/>
        <v>0</v>
      </c>
      <c r="Z173" s="34">
        <f t="shared" si="31"/>
        <v>0</v>
      </c>
      <c r="AA173" s="34">
        <f t="shared" si="31"/>
        <v>0</v>
      </c>
      <c r="AB173" s="34">
        <f t="shared" si="31"/>
        <v>0</v>
      </c>
    </row>
    <row r="174" spans="3:28" x14ac:dyDescent="0.2">
      <c r="C174" s="40" t="s">
        <v>184</v>
      </c>
      <c r="D174" s="40"/>
      <c r="E174" s="41">
        <f>+E173+E164</f>
        <v>147217</v>
      </c>
      <c r="F174" s="41">
        <f>+F173+F164</f>
        <v>111475</v>
      </c>
      <c r="G174" s="41">
        <f>+G173+G164</f>
        <v>136719</v>
      </c>
      <c r="H174" s="41"/>
      <c r="I174" s="41"/>
      <c r="J174" s="41"/>
      <c r="K174" s="41"/>
      <c r="L174" s="41">
        <f>+L173+L164</f>
        <v>283714</v>
      </c>
      <c r="M174" s="41"/>
      <c r="N174" s="41"/>
      <c r="O174" s="41"/>
      <c r="P174" s="41"/>
      <c r="Q174" s="41">
        <f>+Q173+Q164</f>
        <v>91466</v>
      </c>
      <c r="R174" s="41">
        <f t="shared" ref="R174:U174" si="32">+R173+R164</f>
        <v>194588</v>
      </c>
      <c r="S174" s="41">
        <f t="shared" si="32"/>
        <v>155260</v>
      </c>
      <c r="T174" s="41">
        <f t="shared" si="32"/>
        <v>108453</v>
      </c>
      <c r="U174" s="41">
        <f t="shared" si="32"/>
        <v>103340</v>
      </c>
      <c r="V174" s="41">
        <f>+V173+V164</f>
        <v>561641</v>
      </c>
      <c r="W174" s="41">
        <f t="shared" ref="W174:AB174" si="33">+W173+W164</f>
        <v>111121</v>
      </c>
      <c r="X174" s="41">
        <f t="shared" si="33"/>
        <v>0</v>
      </c>
      <c r="Y174" s="41">
        <f t="shared" si="33"/>
        <v>0</v>
      </c>
      <c r="Z174" s="41">
        <f t="shared" si="33"/>
        <v>0</v>
      </c>
      <c r="AA174" s="41">
        <f t="shared" si="33"/>
        <v>0</v>
      </c>
      <c r="AB174" s="41">
        <f t="shared" si="33"/>
        <v>0</v>
      </c>
    </row>
    <row r="175" spans="3:28" x14ac:dyDescent="0.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3:28" x14ac:dyDescent="0.2">
      <c r="C176" s="1" t="s">
        <v>172</v>
      </c>
      <c r="E176" s="2">
        <v>53984</v>
      </c>
      <c r="F176" s="2">
        <v>34845</v>
      </c>
      <c r="G176" s="2">
        <v>37003</v>
      </c>
      <c r="H176" s="2"/>
      <c r="I176" s="2"/>
      <c r="J176" s="2"/>
      <c r="K176" s="2"/>
      <c r="L176" s="2">
        <v>26410</v>
      </c>
      <c r="M176" s="2"/>
      <c r="N176" s="2"/>
      <c r="O176" s="2"/>
      <c r="P176" s="2"/>
      <c r="Q176" s="2">
        <v>26286</v>
      </c>
      <c r="R176" s="2">
        <v>3395</v>
      </c>
      <c r="S176" s="2">
        <f>22165-R176</f>
        <v>18770</v>
      </c>
      <c r="T176" s="2">
        <f>31368-S176-R176</f>
        <v>9203</v>
      </c>
      <c r="U176" s="2">
        <f t="shared" ref="U176:U183" si="34">+V176-T176-S176-R176</f>
        <v>19292</v>
      </c>
      <c r="V176" s="2">
        <v>50660</v>
      </c>
      <c r="W176" s="2">
        <v>2488</v>
      </c>
      <c r="X176" s="2"/>
      <c r="Y176" s="2"/>
      <c r="Z176" s="2"/>
      <c r="AA176" s="2"/>
      <c r="AB176" s="2"/>
    </row>
    <row r="177" spans="3:28" x14ac:dyDescent="0.2">
      <c r="C177" s="1" t="s">
        <v>173</v>
      </c>
      <c r="E177" s="2">
        <v>-3194</v>
      </c>
      <c r="F177" s="2">
        <v>-7747</v>
      </c>
      <c r="G177" s="2">
        <v>-15503</v>
      </c>
      <c r="H177" s="2"/>
      <c r="I177" s="2"/>
      <c r="J177" s="2"/>
      <c r="K177" s="2"/>
      <c r="L177" s="2">
        <v>-20132</v>
      </c>
      <c r="M177" s="2"/>
      <c r="N177" s="2"/>
      <c r="O177" s="2"/>
      <c r="P177" s="2"/>
      <c r="Q177" s="2">
        <v>-41598</v>
      </c>
      <c r="R177" s="2">
        <v>-3876</v>
      </c>
      <c r="S177" s="2">
        <f>-20796-R177</f>
        <v>-16920</v>
      </c>
      <c r="T177" s="2">
        <f>-22101-S177-R177</f>
        <v>-1305</v>
      </c>
      <c r="U177" s="2">
        <f t="shared" si="34"/>
        <v>-4455</v>
      </c>
      <c r="V177" s="2">
        <v>-26556</v>
      </c>
      <c r="W177" s="2">
        <v>-3153</v>
      </c>
      <c r="X177" s="2"/>
      <c r="Y177" s="2"/>
      <c r="Z177" s="2"/>
      <c r="AA177" s="2"/>
      <c r="AB177" s="2"/>
    </row>
    <row r="178" spans="3:28" x14ac:dyDescent="0.2">
      <c r="C178" s="1" t="s">
        <v>174</v>
      </c>
      <c r="E178" s="2">
        <v>25000</v>
      </c>
      <c r="F178" s="2">
        <v>0</v>
      </c>
      <c r="G178" s="2">
        <v>0</v>
      </c>
      <c r="H178" s="2"/>
      <c r="I178" s="2"/>
      <c r="J178" s="2"/>
      <c r="K178" s="2"/>
      <c r="L178" s="2">
        <v>0</v>
      </c>
      <c r="M178" s="2"/>
      <c r="N178" s="2"/>
      <c r="O178" s="2"/>
      <c r="P178" s="2"/>
      <c r="Q178" s="2">
        <v>31109</v>
      </c>
      <c r="R178" s="2">
        <v>1931</v>
      </c>
      <c r="S178" s="2">
        <f>3227-R178</f>
        <v>1296</v>
      </c>
      <c r="T178" s="2">
        <f>4114-S178-R178</f>
        <v>887</v>
      </c>
      <c r="U178" s="2">
        <f t="shared" si="34"/>
        <v>-2351</v>
      </c>
      <c r="V178" s="2">
        <v>1763</v>
      </c>
      <c r="W178" s="2">
        <v>172</v>
      </c>
      <c r="X178" s="2"/>
      <c r="Y178" s="2"/>
      <c r="Z178" s="2"/>
      <c r="AA178" s="2"/>
      <c r="AB178" s="2"/>
    </row>
    <row r="179" spans="3:28" x14ac:dyDescent="0.2">
      <c r="C179" s="1" t="s">
        <v>175</v>
      </c>
      <c r="E179" s="2">
        <v>-25103</v>
      </c>
      <c r="F179" s="2">
        <v>-3494</v>
      </c>
      <c r="G179" s="2">
        <v>-9</v>
      </c>
      <c r="H179" s="2"/>
      <c r="I179" s="2"/>
      <c r="J179" s="2"/>
      <c r="K179" s="2"/>
      <c r="L179" s="2">
        <v>-18</v>
      </c>
      <c r="M179" s="2"/>
      <c r="N179" s="2"/>
      <c r="O179" s="2"/>
      <c r="P179" s="2"/>
      <c r="Q179" s="2">
        <v>-31054</v>
      </c>
      <c r="R179" s="2">
        <v>-6836</v>
      </c>
      <c r="S179" s="2">
        <f>-10756-R179</f>
        <v>-3920</v>
      </c>
      <c r="T179" s="2">
        <f>-11542-S179-R179</f>
        <v>-786</v>
      </c>
      <c r="U179" s="2">
        <f t="shared" si="34"/>
        <v>-4000</v>
      </c>
      <c r="V179" s="2">
        <v>-15542</v>
      </c>
      <c r="W179" s="2">
        <v>-1411</v>
      </c>
      <c r="X179" s="2"/>
      <c r="Y179" s="2"/>
      <c r="Z179" s="2"/>
      <c r="AA179" s="2"/>
      <c r="AB179" s="2"/>
    </row>
    <row r="180" spans="3:28" x14ac:dyDescent="0.2">
      <c r="C180" s="1" t="s">
        <v>196</v>
      </c>
      <c r="E180" s="2">
        <v>0</v>
      </c>
      <c r="F180" s="2">
        <v>0</v>
      </c>
      <c r="G180" s="2">
        <v>0</v>
      </c>
      <c r="H180" s="2"/>
      <c r="I180" s="2"/>
      <c r="J180" s="2"/>
      <c r="K180" s="2"/>
      <c r="L180" s="2">
        <v>0</v>
      </c>
      <c r="M180" s="2"/>
      <c r="N180" s="2"/>
      <c r="O180" s="2"/>
      <c r="P180" s="2"/>
      <c r="Q180" s="2">
        <v>0</v>
      </c>
      <c r="R180" s="2">
        <v>0</v>
      </c>
      <c r="S180" s="2">
        <v>0</v>
      </c>
      <c r="T180" s="2">
        <v>0</v>
      </c>
      <c r="U180" s="2">
        <f t="shared" si="34"/>
        <v>0</v>
      </c>
      <c r="V180" s="2">
        <v>0</v>
      </c>
      <c r="W180" s="2">
        <v>-8510</v>
      </c>
      <c r="X180" s="2"/>
      <c r="Y180" s="2"/>
      <c r="Z180" s="2"/>
      <c r="AA180" s="2"/>
      <c r="AB180" s="2"/>
    </row>
    <row r="181" spans="3:28" x14ac:dyDescent="0.2">
      <c r="C181" s="1" t="s">
        <v>176</v>
      </c>
      <c r="E181" s="2">
        <v>0</v>
      </c>
      <c r="F181" s="2">
        <v>0</v>
      </c>
      <c r="G181" s="2">
        <v>-1104</v>
      </c>
      <c r="H181" s="2"/>
      <c r="I181" s="2"/>
      <c r="J181" s="2"/>
      <c r="K181" s="2"/>
      <c r="L181" s="2">
        <v>-7004</v>
      </c>
      <c r="M181" s="2"/>
      <c r="N181" s="2"/>
      <c r="O181" s="2"/>
      <c r="P181" s="2"/>
      <c r="Q181" s="2">
        <v>-40227</v>
      </c>
      <c r="R181" s="2">
        <v>-207</v>
      </c>
      <c r="S181" s="2">
        <f>-207-R181</f>
        <v>0</v>
      </c>
      <c r="T181" s="2">
        <f>-6626-S181-R181</f>
        <v>-6419</v>
      </c>
      <c r="U181" s="2">
        <f t="shared" si="34"/>
        <v>0</v>
      </c>
      <c r="V181" s="2">
        <v>-6626</v>
      </c>
      <c r="W181" s="2">
        <v>-4678</v>
      </c>
      <c r="X181" s="2"/>
      <c r="Y181" s="2"/>
      <c r="Z181" s="2"/>
      <c r="AA181" s="2"/>
      <c r="AB181" s="2"/>
    </row>
    <row r="182" spans="3:28" x14ac:dyDescent="0.2">
      <c r="C182" s="1" t="s">
        <v>177</v>
      </c>
      <c r="E182" s="2">
        <v>0</v>
      </c>
      <c r="F182" s="2">
        <v>0</v>
      </c>
      <c r="G182" s="2">
        <v>0</v>
      </c>
      <c r="H182" s="2"/>
      <c r="I182" s="2"/>
      <c r="J182" s="2"/>
      <c r="K182" s="2"/>
      <c r="L182" s="2">
        <v>0</v>
      </c>
      <c r="M182" s="2"/>
      <c r="N182" s="2"/>
      <c r="O182" s="2"/>
      <c r="P182" s="2"/>
      <c r="Q182" s="2">
        <v>-1749</v>
      </c>
      <c r="R182" s="2">
        <v>-2146</v>
      </c>
      <c r="S182" s="2">
        <f>-2146-R182</f>
        <v>0</v>
      </c>
      <c r="T182" s="2">
        <f>-2254-S182-R182</f>
        <v>-108</v>
      </c>
      <c r="U182" s="2">
        <f t="shared" si="34"/>
        <v>0</v>
      </c>
      <c r="V182" s="2">
        <v>-2254</v>
      </c>
      <c r="W182" s="2">
        <v>0</v>
      </c>
      <c r="X182" s="2"/>
      <c r="Y182" s="2"/>
      <c r="Z182" s="2"/>
      <c r="AA182" s="2"/>
      <c r="AB182" s="2"/>
    </row>
    <row r="183" spans="3:28" x14ac:dyDescent="0.2">
      <c r="C183" s="1" t="s">
        <v>178</v>
      </c>
      <c r="E183" s="2">
        <v>-941</v>
      </c>
      <c r="F183" s="2">
        <v>-603</v>
      </c>
      <c r="G183" s="2">
        <v>-24</v>
      </c>
      <c r="H183" s="2"/>
      <c r="I183" s="2"/>
      <c r="J183" s="2"/>
      <c r="K183" s="2"/>
      <c r="L183" s="2">
        <v>-21</v>
      </c>
      <c r="M183" s="2"/>
      <c r="N183" s="2"/>
      <c r="O183" s="2"/>
      <c r="P183" s="2"/>
      <c r="Q183" s="2">
        <v>-2324</v>
      </c>
      <c r="R183" s="2">
        <v>-1865</v>
      </c>
      <c r="S183" s="2">
        <f>-2121-R183</f>
        <v>-256</v>
      </c>
      <c r="T183" s="2">
        <f>-3025-S183-R183</f>
        <v>-904</v>
      </c>
      <c r="U183" s="2">
        <f t="shared" si="34"/>
        <v>-441</v>
      </c>
      <c r="V183" s="2">
        <v>-3466</v>
      </c>
      <c r="W183" s="2">
        <v>-226</v>
      </c>
      <c r="X183" s="2"/>
      <c r="Y183" s="2"/>
      <c r="Z183" s="2"/>
      <c r="AA183" s="2"/>
      <c r="AB183" s="2"/>
    </row>
    <row r="184" spans="3:28" x14ac:dyDescent="0.2">
      <c r="C184" s="4" t="s">
        <v>17</v>
      </c>
      <c r="D184" s="4"/>
      <c r="E184" s="6">
        <f>SUM(E176:E183)</f>
        <v>49746</v>
      </c>
      <c r="F184" s="6">
        <f>SUM(F176:F183)</f>
        <v>23001</v>
      </c>
      <c r="G184" s="6">
        <f>SUM(G176:G183)</f>
        <v>20363</v>
      </c>
      <c r="H184" s="6">
        <f>SUM(H176:H183)</f>
        <v>0</v>
      </c>
      <c r="I184" s="6">
        <f>SUM(I176:I183)</f>
        <v>0</v>
      </c>
      <c r="J184" s="6">
        <f>SUM(J176:J183)</f>
        <v>0</v>
      </c>
      <c r="K184" s="6">
        <f>SUM(K176:K183)</f>
        <v>0</v>
      </c>
      <c r="L184" s="6">
        <f>SUM(L176:L183)</f>
        <v>-765</v>
      </c>
      <c r="M184" s="6">
        <f>SUM(M176:M183)</f>
        <v>0</v>
      </c>
      <c r="N184" s="6">
        <f>SUM(N176:N183)</f>
        <v>0</v>
      </c>
      <c r="O184" s="6">
        <f>SUM(O176:O183)</f>
        <v>0</v>
      </c>
      <c r="P184" s="6">
        <f>SUM(P176:P183)</f>
        <v>0</v>
      </c>
      <c r="Q184" s="6">
        <f>SUM(Q176:Q183)</f>
        <v>-59557</v>
      </c>
      <c r="R184" s="6">
        <f>SUM(R176:R183)</f>
        <v>-9604</v>
      </c>
      <c r="S184" s="6">
        <f>SUM(S176:S183)</f>
        <v>-1030</v>
      </c>
      <c r="T184" s="6">
        <f>SUM(T176:T183)</f>
        <v>568</v>
      </c>
      <c r="U184" s="6">
        <f>SUM(U176:U183)</f>
        <v>8045</v>
      </c>
      <c r="V184" s="6">
        <f>SUM(V176:V183)</f>
        <v>-2021</v>
      </c>
      <c r="W184" s="6">
        <f>SUM(W176:W183)</f>
        <v>-15318</v>
      </c>
      <c r="X184" s="6">
        <f>SUM(X176:X183)</f>
        <v>0</v>
      </c>
      <c r="Y184" s="6">
        <f>SUM(Y176:Y183)</f>
        <v>0</v>
      </c>
      <c r="Z184" s="6">
        <f>SUM(Z176:Z183)</f>
        <v>0</v>
      </c>
      <c r="AA184" s="6">
        <f>SUM(AA176:AA183)</f>
        <v>0</v>
      </c>
      <c r="AB184" s="6">
        <f>SUM(AB176:AB183)</f>
        <v>0</v>
      </c>
    </row>
    <row r="185" spans="3:28" x14ac:dyDescent="0.2">
      <c r="C185" s="3"/>
      <c r="D185" s="3"/>
      <c r="E185" s="3"/>
      <c r="F185" s="3"/>
      <c r="G185" s="5"/>
      <c r="H185" s="5"/>
      <c r="I185" s="5"/>
      <c r="J185" s="5"/>
      <c r="K185" s="5"/>
      <c r="L185" s="5"/>
      <c r="M185" s="5"/>
      <c r="N185" s="5"/>
      <c r="O185" s="5"/>
      <c r="P185" s="5"/>
      <c r="Q185" s="5"/>
      <c r="R185" s="5"/>
      <c r="S185" s="5"/>
      <c r="T185" s="5"/>
      <c r="U185" s="5"/>
      <c r="V185" s="5"/>
      <c r="W185" s="5"/>
      <c r="X185" s="5"/>
      <c r="Y185" s="5"/>
      <c r="Z185" s="5"/>
      <c r="AA185" s="5"/>
      <c r="AB185" s="5"/>
    </row>
    <row r="186" spans="3:28" x14ac:dyDescent="0.2">
      <c r="C186" s="3" t="s">
        <v>66</v>
      </c>
      <c r="D186" s="3"/>
      <c r="E186" s="5">
        <v>11776</v>
      </c>
      <c r="F186" s="5">
        <v>-14240</v>
      </c>
      <c r="G186" s="5">
        <v>3530</v>
      </c>
      <c r="H186" s="5"/>
      <c r="I186" s="5"/>
      <c r="J186" s="5"/>
      <c r="K186" s="5"/>
      <c r="L186" s="5">
        <v>9357</v>
      </c>
      <c r="M186" s="5"/>
      <c r="N186" s="5"/>
      <c r="O186" s="5"/>
      <c r="P186" s="5"/>
      <c r="Q186" s="5">
        <v>-18032</v>
      </c>
      <c r="R186" s="5">
        <v>-45407</v>
      </c>
      <c r="S186" s="5">
        <f>-45661-R186</f>
        <v>-254</v>
      </c>
      <c r="T186" s="5">
        <f>-75876-S186-R186</f>
        <v>-30215</v>
      </c>
      <c r="U186" s="5">
        <f t="shared" ref="U186" si="35">+V186-T186-S186-R186</f>
        <v>31009</v>
      </c>
      <c r="V186" s="5">
        <v>-44867</v>
      </c>
      <c r="W186" s="5">
        <v>14070</v>
      </c>
      <c r="X186" s="5"/>
      <c r="Y186" s="5"/>
      <c r="Z186" s="5"/>
      <c r="AA186" s="5"/>
      <c r="AB186" s="5"/>
    </row>
    <row r="187" spans="3:28" x14ac:dyDescent="0.2">
      <c r="G187" s="2"/>
      <c r="H187" s="2"/>
      <c r="I187" s="2"/>
      <c r="J187" s="2"/>
      <c r="K187" s="2"/>
      <c r="L187" s="2"/>
      <c r="M187" s="2"/>
      <c r="N187" s="2"/>
      <c r="O187" s="2"/>
      <c r="P187" s="2"/>
      <c r="Q187" s="2"/>
      <c r="R187" s="2"/>
      <c r="S187" s="2"/>
      <c r="T187" s="2"/>
      <c r="U187" s="2"/>
      <c r="V187" s="2"/>
      <c r="W187" s="2"/>
      <c r="X187" s="2"/>
      <c r="Y187" s="2"/>
      <c r="Z187" s="2"/>
      <c r="AA187" s="2"/>
      <c r="AB187" s="2"/>
    </row>
    <row r="188" spans="3:28" x14ac:dyDescent="0.2">
      <c r="C188" s="10" t="s">
        <v>18</v>
      </c>
      <c r="D188" s="10"/>
      <c r="E188" s="11">
        <f>+E159+E167+E184+E186</f>
        <v>218191</v>
      </c>
      <c r="F188" s="11">
        <f>+F159+F167+F184+F186</f>
        <v>188856</v>
      </c>
      <c r="G188" s="11">
        <f>+G159+G167+G184+G186</f>
        <v>165977</v>
      </c>
      <c r="H188" s="11">
        <f>+H159+H167+H184+H186</f>
        <v>0</v>
      </c>
      <c r="I188" s="11">
        <f>+I159+I167+I184+I186</f>
        <v>0</v>
      </c>
      <c r="J188" s="11">
        <f>+J159+J167+J184+J186</f>
        <v>0</v>
      </c>
      <c r="K188" s="11">
        <f>+K159+K167+K184+K186</f>
        <v>0</v>
      </c>
      <c r="L188" s="11">
        <f>+L159+L167+L184+L186</f>
        <v>385845</v>
      </c>
      <c r="M188" s="11">
        <f>+M159+M167+M184+M186</f>
        <v>0</v>
      </c>
      <c r="N188" s="11">
        <f>+N159+N167+N184+N186</f>
        <v>0</v>
      </c>
      <c r="O188" s="11">
        <f>+O159+O167+O184+O186</f>
        <v>0</v>
      </c>
      <c r="P188" s="11">
        <f>+P159+P167+P184+P186</f>
        <v>0</v>
      </c>
      <c r="Q188" s="11">
        <f>+Q159+Q167+Q184+Q186</f>
        <v>125814</v>
      </c>
      <c r="R188" s="11">
        <f>+R159+R167+R184+R186</f>
        <v>-141422</v>
      </c>
      <c r="S188" s="11">
        <f>+S159+S167+S184+S186</f>
        <v>-12294</v>
      </c>
      <c r="T188" s="11">
        <f>+T159+T167+T184+T186</f>
        <v>194021</v>
      </c>
      <c r="U188" s="11">
        <f>+U159+U167+U184+U186</f>
        <v>193984</v>
      </c>
      <c r="V188" s="11">
        <f>+V159+V167+V184+V186</f>
        <v>234289</v>
      </c>
      <c r="W188" s="11">
        <f>+W159+W167+W184+W186</f>
        <v>68369</v>
      </c>
      <c r="X188" s="11">
        <f>+X159+X167+X184+X186</f>
        <v>0</v>
      </c>
      <c r="Y188" s="11">
        <f>+Y159+Y167+Y184+Y186</f>
        <v>0</v>
      </c>
      <c r="Z188" s="11">
        <f>+Z159+Z167+Z184+Z186</f>
        <v>0</v>
      </c>
      <c r="AA188" s="11">
        <f>+AA159+AA167+AA184+AA186</f>
        <v>0</v>
      </c>
      <c r="AB188" s="11">
        <f>+AB159+AB167+AB184+AB186</f>
        <v>0</v>
      </c>
    </row>
    <row r="189" spans="3:28" x14ac:dyDescent="0.2">
      <c r="G189" s="2"/>
      <c r="H189" s="2"/>
      <c r="I189" s="2"/>
      <c r="J189" s="2"/>
      <c r="K189" s="2"/>
      <c r="L189" s="2"/>
      <c r="M189" s="2"/>
      <c r="N189" s="2"/>
      <c r="O189" s="2"/>
      <c r="P189" s="2"/>
      <c r="Q189" s="2"/>
      <c r="R189" s="2"/>
      <c r="S189" s="2"/>
      <c r="T189" s="2"/>
      <c r="U189" s="2"/>
      <c r="V189" s="2"/>
      <c r="W189" s="2"/>
      <c r="X189" s="2"/>
      <c r="Y189" s="2"/>
      <c r="Z189" s="2"/>
      <c r="AA189" s="2"/>
      <c r="AB189" s="2"/>
    </row>
    <row r="190" spans="3:28" x14ac:dyDescent="0.2">
      <c r="C190" s="1" t="s">
        <v>19</v>
      </c>
      <c r="E190" s="2">
        <v>364664</v>
      </c>
      <c r="F190" s="2">
        <f>+E191</f>
        <v>582855</v>
      </c>
      <c r="G190" s="2">
        <f>+F191</f>
        <v>771711</v>
      </c>
      <c r="H190" s="2"/>
      <c r="I190" s="2"/>
      <c r="J190" s="2"/>
      <c r="K190" s="2"/>
      <c r="L190" s="2">
        <f>+G191</f>
        <v>937688</v>
      </c>
      <c r="M190" s="2">
        <f>+L191</f>
        <v>1323533</v>
      </c>
      <c r="N190" s="2">
        <f>+M191</f>
        <v>1323533</v>
      </c>
      <c r="O190" s="2">
        <f>+N191</f>
        <v>1323533</v>
      </c>
      <c r="P190" s="2">
        <f>+O191</f>
        <v>1323533</v>
      </c>
      <c r="Q190" s="2">
        <f>+L191</f>
        <v>1323533</v>
      </c>
      <c r="R190" s="2">
        <f>+Q191</f>
        <v>1449347</v>
      </c>
      <c r="S190" s="2">
        <f>+R191</f>
        <v>1307925</v>
      </c>
      <c r="T190" s="2">
        <f>+S191</f>
        <v>1295631</v>
      </c>
      <c r="U190" s="2">
        <f>+T191</f>
        <v>1489652</v>
      </c>
      <c r="V190" s="2">
        <f>+Q191</f>
        <v>1449347</v>
      </c>
      <c r="W190" s="2">
        <f>+V191</f>
        <v>1683636</v>
      </c>
      <c r="X190" s="2"/>
      <c r="Y190" s="2"/>
      <c r="Z190" s="2"/>
      <c r="AA190" s="2"/>
      <c r="AB190" s="2"/>
    </row>
    <row r="191" spans="3:28" x14ac:dyDescent="0.2">
      <c r="C191" s="1" t="s">
        <v>20</v>
      </c>
      <c r="E191" s="2">
        <f>+E190+E188</f>
        <v>582855</v>
      </c>
      <c r="F191" s="2">
        <f t="shared" ref="F191:W191" si="36">+F190+F188</f>
        <v>771711</v>
      </c>
      <c r="G191" s="2">
        <f t="shared" si="36"/>
        <v>937688</v>
      </c>
      <c r="H191" s="2">
        <f t="shared" si="36"/>
        <v>0</v>
      </c>
      <c r="I191" s="2">
        <f t="shared" si="36"/>
        <v>0</v>
      </c>
      <c r="J191" s="2">
        <f t="shared" si="36"/>
        <v>0</v>
      </c>
      <c r="K191" s="2">
        <f t="shared" si="36"/>
        <v>0</v>
      </c>
      <c r="L191" s="2">
        <f t="shared" si="36"/>
        <v>1323533</v>
      </c>
      <c r="M191" s="2">
        <f t="shared" si="36"/>
        <v>1323533</v>
      </c>
      <c r="N191" s="2">
        <f t="shared" si="36"/>
        <v>1323533</v>
      </c>
      <c r="O191" s="2">
        <f t="shared" si="36"/>
        <v>1323533</v>
      </c>
      <c r="P191" s="2">
        <f t="shared" si="36"/>
        <v>1323533</v>
      </c>
      <c r="Q191" s="2">
        <f t="shared" si="36"/>
        <v>1449347</v>
      </c>
      <c r="R191" s="2">
        <f t="shared" si="36"/>
        <v>1307925</v>
      </c>
      <c r="S191" s="2">
        <f t="shared" si="36"/>
        <v>1295631</v>
      </c>
      <c r="T191" s="2">
        <f t="shared" si="36"/>
        <v>1489652</v>
      </c>
      <c r="U191" s="2">
        <f t="shared" si="36"/>
        <v>1683636</v>
      </c>
      <c r="V191" s="2">
        <f t="shared" si="36"/>
        <v>1683636</v>
      </c>
      <c r="W191" s="2">
        <f t="shared" si="36"/>
        <v>1752005</v>
      </c>
      <c r="X191" s="2"/>
      <c r="Y191" s="2"/>
      <c r="Z191" s="2"/>
      <c r="AA191" s="2"/>
      <c r="AB191" s="2"/>
    </row>
    <row r="192" spans="3:28" x14ac:dyDescent="0.2">
      <c r="C192" s="1" t="s">
        <v>12</v>
      </c>
      <c r="E192" s="54">
        <f>+E191-582855</f>
        <v>0</v>
      </c>
      <c r="F192" s="54">
        <f>+F191-771711</f>
        <v>0</v>
      </c>
      <c r="G192" s="2">
        <f>+G191-937688</f>
        <v>0</v>
      </c>
      <c r="H192" s="9"/>
      <c r="I192" s="9"/>
      <c r="J192" s="9"/>
      <c r="K192" s="9"/>
      <c r="L192" s="36">
        <f>+L191-1323533</f>
        <v>0</v>
      </c>
      <c r="M192" s="36"/>
      <c r="N192" s="36"/>
      <c r="O192" s="36"/>
      <c r="P192" s="36"/>
      <c r="Q192" s="36">
        <f>+Q191-1449347</f>
        <v>0</v>
      </c>
      <c r="R192" s="36">
        <f>+R191-1307925</f>
        <v>0</v>
      </c>
      <c r="S192" s="36">
        <f>+S191-1295631</f>
        <v>0</v>
      </c>
      <c r="T192" s="36">
        <f>+T191-1489652</f>
        <v>0</v>
      </c>
      <c r="U192" s="36">
        <f>+U191-1683636</f>
        <v>0</v>
      </c>
      <c r="V192" s="36">
        <f>+V191-1683636</f>
        <v>0</v>
      </c>
      <c r="W192" s="36">
        <f>+W191-1752005</f>
        <v>0</v>
      </c>
      <c r="X192" s="36"/>
      <c r="Y192" s="36"/>
      <c r="Z192" s="36"/>
      <c r="AA192" s="36"/>
      <c r="AB192" s="36"/>
    </row>
    <row r="194" spans="3:28" x14ac:dyDescent="0.2">
      <c r="C194" s="35" t="s">
        <v>43</v>
      </c>
      <c r="D194" s="35"/>
      <c r="E194" s="35">
        <v>2017</v>
      </c>
      <c r="F194" s="35">
        <v>2018</v>
      </c>
      <c r="G194" s="35">
        <v>2019</v>
      </c>
      <c r="H194" s="12" t="s">
        <v>23</v>
      </c>
      <c r="I194" s="12" t="s">
        <v>24</v>
      </c>
      <c r="J194" s="12" t="s">
        <v>25</v>
      </c>
      <c r="K194" s="12" t="s">
        <v>27</v>
      </c>
      <c r="L194" s="35">
        <v>2020</v>
      </c>
      <c r="M194" s="12" t="s">
        <v>21</v>
      </c>
      <c r="N194" s="12" t="s">
        <v>22</v>
      </c>
      <c r="O194" s="12" t="s">
        <v>28</v>
      </c>
      <c r="P194" s="12" t="s">
        <v>26</v>
      </c>
      <c r="Q194" s="35">
        <v>2021</v>
      </c>
      <c r="R194" s="12" t="s">
        <v>30</v>
      </c>
      <c r="S194" s="12" t="s">
        <v>31</v>
      </c>
      <c r="T194" s="12" t="s">
        <v>32</v>
      </c>
      <c r="U194" s="12" t="s">
        <v>33</v>
      </c>
      <c r="V194" s="35">
        <v>2022</v>
      </c>
      <c r="W194" s="12" t="s">
        <v>34</v>
      </c>
      <c r="X194" s="12" t="s">
        <v>35</v>
      </c>
      <c r="Y194" s="12" t="s">
        <v>36</v>
      </c>
      <c r="Z194" s="12" t="s">
        <v>37</v>
      </c>
      <c r="AA194" s="35">
        <f>+V194+1</f>
        <v>2023</v>
      </c>
      <c r="AB194" s="35">
        <f>+AA194+1</f>
        <v>2024</v>
      </c>
    </row>
    <row r="195" spans="3:28" x14ac:dyDescent="0.2">
      <c r="C195" s="1" t="e" vm="1">
        <v>#VALUE!</v>
      </c>
      <c r="E195" s="36">
        <v>83.14</v>
      </c>
      <c r="F195" s="36">
        <v>123.07</v>
      </c>
      <c r="G195" s="36">
        <v>177.12</v>
      </c>
      <c r="H195" s="36"/>
      <c r="I195" s="36"/>
      <c r="J195" s="36"/>
      <c r="K195" s="36"/>
      <c r="L195" s="36">
        <v>267.67</v>
      </c>
      <c r="M195" s="2"/>
      <c r="N195" s="2"/>
      <c r="O195" s="2"/>
      <c r="P195" s="2"/>
      <c r="Q195" s="36">
        <v>518.65</v>
      </c>
      <c r="R195" s="36" cm="1">
        <f t="array" ref="R195">_FV($C$195,"Price")</f>
        <v>222.53</v>
      </c>
      <c r="S195" s="36" cm="1">
        <f t="array" ref="S195">_FV($C$195,"Price")</f>
        <v>222.53</v>
      </c>
      <c r="T195" s="36" cm="1">
        <f t="array" ref="T195">_FV($C$195,"Price")</f>
        <v>222.53</v>
      </c>
      <c r="U195" s="36" cm="1">
        <f t="array" ref="U195">_FV($C$195,"Price")</f>
        <v>222.53</v>
      </c>
      <c r="V195" s="36">
        <v>355.24</v>
      </c>
      <c r="W195" s="9" cm="1">
        <f t="array" ref="W195">_FV($C$195,"Price")</f>
        <v>222.53</v>
      </c>
      <c r="X195" s="2"/>
      <c r="Y195" s="2"/>
      <c r="Z195" s="2"/>
      <c r="AA195" s="36" cm="1">
        <f t="array" ref="AA195">_FV(C195,"Price")</f>
        <v>222.53</v>
      </c>
      <c r="AB195" s="2"/>
    </row>
    <row r="196" spans="3:28" x14ac:dyDescent="0.2">
      <c r="C196" s="1" t="s">
        <v>3</v>
      </c>
      <c r="E196" s="2">
        <f>+E27</f>
        <v>54984</v>
      </c>
      <c r="F196" s="2">
        <f>+F27</f>
        <v>56673</v>
      </c>
      <c r="G196" s="2">
        <f>+G27</f>
        <v>57668</v>
      </c>
      <c r="H196" s="2"/>
      <c r="I196" s="2"/>
      <c r="J196" s="2"/>
      <c r="K196" s="2"/>
      <c r="L196" s="2">
        <f>+L27</f>
        <v>58446</v>
      </c>
      <c r="M196" s="2"/>
      <c r="N196" s="2"/>
      <c r="O196" s="2"/>
      <c r="P196" s="2"/>
      <c r="Q196" s="2">
        <f>+Q27</f>
        <v>59064</v>
      </c>
      <c r="R196" s="2">
        <f>+R27</f>
        <v>58941</v>
      </c>
      <c r="S196" s="2">
        <f>+S27</f>
        <v>59020</v>
      </c>
      <c r="T196" s="2">
        <f>+T27</f>
        <v>59357</v>
      </c>
      <c r="U196" s="2">
        <f>+U27</f>
        <v>59349</v>
      </c>
      <c r="V196" s="2">
        <f>+V27</f>
        <v>59169</v>
      </c>
      <c r="W196" s="2">
        <f>+W27</f>
        <v>59298</v>
      </c>
      <c r="X196" s="2"/>
      <c r="Y196" s="2"/>
      <c r="Z196" s="2"/>
      <c r="AA196" s="27">
        <f>+V196</f>
        <v>59169</v>
      </c>
      <c r="AB196" s="2"/>
    </row>
    <row r="197" spans="3:28" x14ac:dyDescent="0.2">
      <c r="C197" s="3" t="s">
        <v>92</v>
      </c>
      <c r="D197" s="3"/>
      <c r="E197" s="5">
        <f t="shared" ref="E197" si="37">+E195*E196</f>
        <v>4571369.76</v>
      </c>
      <c r="F197" s="5">
        <f t="shared" ref="F197" si="38">+F195*F196</f>
        <v>6974746.1099999994</v>
      </c>
      <c r="G197" s="5">
        <f t="shared" ref="G197" si="39">+G195*G196</f>
        <v>10214156.16</v>
      </c>
      <c r="H197" s="5"/>
      <c r="I197" s="5"/>
      <c r="J197" s="5"/>
      <c r="K197" s="5"/>
      <c r="L197" s="5">
        <f t="shared" ref="L197" si="40">+L195*L196</f>
        <v>15644240.82</v>
      </c>
      <c r="M197" s="5"/>
      <c r="N197" s="5"/>
      <c r="O197" s="5"/>
      <c r="P197" s="5"/>
      <c r="Q197" s="5">
        <f t="shared" ref="Q197:V197" si="41">+Q195*Q196</f>
        <v>30633543.599999998</v>
      </c>
      <c r="R197" s="5">
        <f t="shared" si="41"/>
        <v>13116140.73</v>
      </c>
      <c r="S197" s="5">
        <f t="shared" si="41"/>
        <v>13133720.6</v>
      </c>
      <c r="T197" s="5">
        <f t="shared" si="41"/>
        <v>13208713.210000001</v>
      </c>
      <c r="U197" s="5">
        <f t="shared" si="41"/>
        <v>13206932.970000001</v>
      </c>
      <c r="V197" s="5">
        <f t="shared" si="41"/>
        <v>21019195.560000002</v>
      </c>
      <c r="W197" s="5">
        <f>+W195*W196</f>
        <v>13195583.939999999</v>
      </c>
      <c r="X197" s="2"/>
      <c r="Y197" s="2"/>
      <c r="Z197" s="2"/>
      <c r="AA197" s="5">
        <f t="shared" ref="AA197" si="42">+AA195*AA196</f>
        <v>13166877.57</v>
      </c>
      <c r="AB197" s="2"/>
    </row>
    <row r="198" spans="3:28" x14ac:dyDescent="0.2">
      <c r="C198" s="1" t="s">
        <v>93</v>
      </c>
      <c r="E198" s="2">
        <f t="shared" ref="E198" si="43">+E129</f>
        <v>-557552</v>
      </c>
      <c r="F198" s="2">
        <f t="shared" ref="F198" si="44">+F129</f>
        <v>-745529</v>
      </c>
      <c r="G198" s="2">
        <f t="shared" ref="G198" si="45">+G129</f>
        <v>-911487</v>
      </c>
      <c r="H198" s="2"/>
      <c r="I198" s="2"/>
      <c r="J198" s="2"/>
      <c r="K198" s="2"/>
      <c r="L198" s="2">
        <f t="shared" ref="L198:W198" si="46">+L129</f>
        <v>-1357112</v>
      </c>
      <c r="M198" s="2">
        <f t="shared" si="46"/>
        <v>0</v>
      </c>
      <c r="N198" s="2">
        <f t="shared" si="46"/>
        <v>0</v>
      </c>
      <c r="O198" s="2">
        <f t="shared" si="46"/>
        <v>0</v>
      </c>
      <c r="P198" s="2">
        <f t="shared" si="46"/>
        <v>0</v>
      </c>
      <c r="Q198" s="2">
        <f t="shared" si="46"/>
        <v>-1400373</v>
      </c>
      <c r="R198" s="2">
        <f t="shared" si="46"/>
        <v>-1236011</v>
      </c>
      <c r="S198" s="2">
        <f t="shared" si="46"/>
        <v>-1316694</v>
      </c>
      <c r="T198" s="2">
        <f t="shared" si="46"/>
        <v>-1511827</v>
      </c>
      <c r="U198" s="2">
        <f t="shared" si="46"/>
        <v>-1711126</v>
      </c>
      <c r="V198" s="2">
        <f t="shared" si="46"/>
        <v>-1711126</v>
      </c>
      <c r="W198" s="2">
        <f t="shared" si="46"/>
        <v>-1781542</v>
      </c>
      <c r="X198" s="2"/>
      <c r="Y198" s="2"/>
      <c r="Z198" s="2"/>
      <c r="AA198" s="27">
        <f>+V198</f>
        <v>-1711126</v>
      </c>
      <c r="AB198" s="2"/>
    </row>
    <row r="199" spans="3:28" x14ac:dyDescent="0.2">
      <c r="C199" s="3" t="s">
        <v>94</v>
      </c>
      <c r="D199" s="3"/>
      <c r="E199" s="5">
        <f t="shared" ref="E199" si="47">+E198+E197</f>
        <v>4013817.76</v>
      </c>
      <c r="F199" s="5">
        <f t="shared" ref="F199" si="48">+F198+F197</f>
        <v>6229217.1099999994</v>
      </c>
      <c r="G199" s="5">
        <f t="shared" ref="G199" si="49">+G198+G197</f>
        <v>9302669.1600000001</v>
      </c>
      <c r="H199" s="5"/>
      <c r="I199" s="5"/>
      <c r="J199" s="5"/>
      <c r="K199" s="5"/>
      <c r="L199" s="5">
        <f t="shared" ref="L199:W199" si="50">+L198+L197</f>
        <v>14287128.82</v>
      </c>
      <c r="M199" s="5">
        <f t="shared" si="50"/>
        <v>0</v>
      </c>
      <c r="N199" s="5">
        <f t="shared" si="50"/>
        <v>0</v>
      </c>
      <c r="O199" s="5">
        <f t="shared" si="50"/>
        <v>0</v>
      </c>
      <c r="P199" s="5">
        <f t="shared" si="50"/>
        <v>0</v>
      </c>
      <c r="Q199" s="5">
        <f t="shared" si="50"/>
        <v>29233170.599999998</v>
      </c>
      <c r="R199" s="5">
        <f t="shared" si="50"/>
        <v>11880129.73</v>
      </c>
      <c r="S199" s="5">
        <f t="shared" si="50"/>
        <v>11817026.6</v>
      </c>
      <c r="T199" s="5">
        <f t="shared" si="50"/>
        <v>11696886.210000001</v>
      </c>
      <c r="U199" s="5">
        <f t="shared" si="50"/>
        <v>11495806.970000001</v>
      </c>
      <c r="V199" s="5">
        <f t="shared" si="50"/>
        <v>19308069.560000002</v>
      </c>
      <c r="W199" s="5">
        <f t="shared" si="50"/>
        <v>11414041.939999999</v>
      </c>
      <c r="X199" s="2"/>
      <c r="Y199" s="2"/>
      <c r="Z199" s="2"/>
      <c r="AA199" s="5">
        <f t="shared" ref="AA199" si="51">+AA198+AA197</f>
        <v>11455751.57</v>
      </c>
      <c r="AB199" s="2"/>
    </row>
    <row r="200" spans="3:28" x14ac:dyDescent="0.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3:28" x14ac:dyDescent="0.2">
      <c r="C201" s="1" t="s">
        <v>197</v>
      </c>
      <c r="E201" s="2">
        <f t="shared" ref="E201:Q201" si="52">+E169</f>
        <v>110607</v>
      </c>
      <c r="F201" s="2">
        <f t="shared" si="52"/>
        <v>195456</v>
      </c>
      <c r="G201" s="2">
        <f t="shared" si="52"/>
        <v>116109</v>
      </c>
      <c r="H201" s="2">
        <f t="shared" si="52"/>
        <v>0</v>
      </c>
      <c r="I201" s="2">
        <f t="shared" si="52"/>
        <v>0</v>
      </c>
      <c r="J201" s="2">
        <f t="shared" si="52"/>
        <v>0</v>
      </c>
      <c r="K201" s="2">
        <f t="shared" si="52"/>
        <v>0</v>
      </c>
      <c r="L201" s="2">
        <f t="shared" si="52"/>
        <v>400376</v>
      </c>
      <c r="M201" s="2">
        <f t="shared" si="52"/>
        <v>0</v>
      </c>
      <c r="N201" s="2">
        <f t="shared" si="52"/>
        <v>0</v>
      </c>
      <c r="O201" s="2">
        <f t="shared" si="52"/>
        <v>0</v>
      </c>
      <c r="P201" s="2">
        <f t="shared" si="52"/>
        <v>0</v>
      </c>
      <c r="Q201" s="2">
        <f>+Q169</f>
        <v>349171</v>
      </c>
      <c r="R201" s="2"/>
      <c r="S201" s="2"/>
      <c r="T201" s="2"/>
      <c r="U201" s="2"/>
      <c r="V201" s="2">
        <f>+V169</f>
        <v>282566</v>
      </c>
      <c r="W201" s="2">
        <f>+W169+U169+T169+S169</f>
        <v>405642</v>
      </c>
      <c r="X201" s="2"/>
      <c r="Y201" s="2"/>
      <c r="Z201" s="2"/>
      <c r="AA201" s="27">
        <f>+V201</f>
        <v>282566</v>
      </c>
      <c r="AB201" s="2"/>
    </row>
    <row r="202" spans="3:28" x14ac:dyDescent="0.2">
      <c r="C202" s="1" t="s">
        <v>95</v>
      </c>
      <c r="E202" s="44">
        <f t="shared" ref="E202:P202" si="53">+E199/E201</f>
        <v>36.289003046823439</v>
      </c>
      <c r="F202" s="44">
        <f t="shared" si="53"/>
        <v>31.87017594752783</v>
      </c>
      <c r="G202" s="44">
        <f t="shared" si="53"/>
        <v>80.120138490556286</v>
      </c>
      <c r="H202" s="44" t="e">
        <f t="shared" si="53"/>
        <v>#DIV/0!</v>
      </c>
      <c r="I202" s="44" t="e">
        <f t="shared" si="53"/>
        <v>#DIV/0!</v>
      </c>
      <c r="J202" s="44" t="e">
        <f t="shared" si="53"/>
        <v>#DIV/0!</v>
      </c>
      <c r="K202" s="44" t="e">
        <f t="shared" si="53"/>
        <v>#DIV/0!</v>
      </c>
      <c r="L202" s="44">
        <f t="shared" si="53"/>
        <v>35.684278827901771</v>
      </c>
      <c r="M202" s="44" t="e">
        <f t="shared" si="53"/>
        <v>#DIV/0!</v>
      </c>
      <c r="N202" s="44" t="e">
        <f t="shared" si="53"/>
        <v>#DIV/0!</v>
      </c>
      <c r="O202" s="44" t="e">
        <f t="shared" si="53"/>
        <v>#DIV/0!</v>
      </c>
      <c r="P202" s="44" t="e">
        <f t="shared" si="53"/>
        <v>#DIV/0!</v>
      </c>
      <c r="Q202" s="44">
        <f>+Q199/Q201</f>
        <v>83.721645268364199</v>
      </c>
      <c r="R202" s="2"/>
      <c r="S202" s="2"/>
      <c r="T202" s="2"/>
      <c r="U202" s="2"/>
      <c r="V202" s="44">
        <f>+V199/V201</f>
        <v>68.331184785147556</v>
      </c>
      <c r="W202" s="44">
        <f>+W199/W201</f>
        <v>28.138215322870906</v>
      </c>
      <c r="X202" s="2"/>
      <c r="Y202" s="2"/>
      <c r="Z202" s="2"/>
      <c r="AA202" s="44">
        <f>+AA199/AA201</f>
        <v>40.541861264271006</v>
      </c>
      <c r="AB202" s="2"/>
    </row>
    <row r="203" spans="3:28" x14ac:dyDescent="0.2">
      <c r="C203" s="1" t="s">
        <v>97</v>
      </c>
      <c r="E203" s="42">
        <f t="shared" ref="E203:Q203" si="54">1/E202</f>
        <v>2.7556557525421882E-2</v>
      </c>
      <c r="F203" s="42">
        <f t="shared" si="54"/>
        <v>3.1377297748416418E-2</v>
      </c>
      <c r="G203" s="42">
        <f t="shared" si="54"/>
        <v>1.2481256508535234E-2</v>
      </c>
      <c r="H203" s="42" t="e">
        <f t="shared" si="54"/>
        <v>#DIV/0!</v>
      </c>
      <c r="I203" s="42" t="e">
        <f t="shared" si="54"/>
        <v>#DIV/0!</v>
      </c>
      <c r="J203" s="42" t="e">
        <f t="shared" si="54"/>
        <v>#DIV/0!</v>
      </c>
      <c r="K203" s="42" t="e">
        <f t="shared" si="54"/>
        <v>#DIV/0!</v>
      </c>
      <c r="L203" s="42">
        <f t="shared" si="54"/>
        <v>2.8023545181417354E-2</v>
      </c>
      <c r="M203" s="42" t="e">
        <f t="shared" si="54"/>
        <v>#DIV/0!</v>
      </c>
      <c r="N203" s="42" t="e">
        <f t="shared" si="54"/>
        <v>#DIV/0!</v>
      </c>
      <c r="O203" s="42" t="e">
        <f t="shared" si="54"/>
        <v>#DIV/0!</v>
      </c>
      <c r="P203" s="42" t="e">
        <f t="shared" si="54"/>
        <v>#DIV/0!</v>
      </c>
      <c r="Q203" s="42">
        <f t="shared" ref="Q203" si="55">1/Q202</f>
        <v>1.1944342431333809E-2</v>
      </c>
      <c r="R203" s="2"/>
      <c r="S203" s="2"/>
      <c r="T203" s="2"/>
      <c r="U203" s="2"/>
      <c r="V203" s="42">
        <f t="shared" ref="V203:W203" si="56">1/V202</f>
        <v>1.4634606485227512E-2</v>
      </c>
      <c r="W203" s="42">
        <f t="shared" si="56"/>
        <v>3.5538856623475841E-2</v>
      </c>
      <c r="X203" s="2"/>
      <c r="Y203" s="2"/>
      <c r="Z203" s="2"/>
      <c r="AA203" s="42">
        <f t="shared" ref="AA203" si="57">1/AA202</f>
        <v>2.4665863105828505E-2</v>
      </c>
      <c r="AB203" s="2"/>
    </row>
    <row r="204" spans="3:28" x14ac:dyDescent="0.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3:28" x14ac:dyDescent="0.2">
      <c r="C205" s="1" t="s">
        <v>188</v>
      </c>
      <c r="E205" s="2">
        <f t="shared" ref="E205:Q205" si="58">+E171</f>
        <v>180018</v>
      </c>
      <c r="F205" s="2">
        <f t="shared" si="58"/>
        <v>190713</v>
      </c>
      <c r="G205" s="2">
        <f t="shared" si="58"/>
        <v>75309</v>
      </c>
      <c r="H205" s="2">
        <f t="shared" si="58"/>
        <v>0</v>
      </c>
      <c r="I205" s="2">
        <f t="shared" si="58"/>
        <v>0</v>
      </c>
      <c r="J205" s="2">
        <f t="shared" si="58"/>
        <v>0</v>
      </c>
      <c r="K205" s="2">
        <f t="shared" si="58"/>
        <v>0</v>
      </c>
      <c r="L205" s="2">
        <f t="shared" si="58"/>
        <v>386962</v>
      </c>
      <c r="M205" s="2">
        <f t="shared" si="58"/>
        <v>0</v>
      </c>
      <c r="N205" s="2">
        <f t="shared" si="58"/>
        <v>0</v>
      </c>
      <c r="O205" s="2">
        <f t="shared" si="58"/>
        <v>0</v>
      </c>
      <c r="P205" s="2">
        <f t="shared" si="58"/>
        <v>0</v>
      </c>
      <c r="Q205" s="2">
        <f>+Q171</f>
        <v>337052</v>
      </c>
      <c r="R205" s="2"/>
      <c r="S205" s="2"/>
      <c r="T205" s="2"/>
      <c r="U205" s="2"/>
      <c r="V205" s="2">
        <f>+V172</f>
        <v>576039</v>
      </c>
      <c r="W205" s="2">
        <f>+W172+U172+T172+S172</f>
        <v>469013</v>
      </c>
      <c r="X205" s="2"/>
      <c r="Y205" s="2"/>
      <c r="Z205" s="2"/>
      <c r="AA205" s="27">
        <f>+V205</f>
        <v>576039</v>
      </c>
      <c r="AB205" s="2"/>
    </row>
    <row r="206" spans="3:28" x14ac:dyDescent="0.2">
      <c r="C206" s="1" t="s">
        <v>95</v>
      </c>
      <c r="E206" s="44">
        <f t="shared" ref="E206:Q206" si="59">+E199/E205</f>
        <v>22.296757879767579</v>
      </c>
      <c r="F206" s="44">
        <f t="shared" si="59"/>
        <v>32.662781823997314</v>
      </c>
      <c r="G206" s="44">
        <f t="shared" si="59"/>
        <v>123.52665896506394</v>
      </c>
      <c r="H206" s="44" t="e">
        <f t="shared" si="59"/>
        <v>#DIV/0!</v>
      </c>
      <c r="I206" s="44" t="e">
        <f t="shared" si="59"/>
        <v>#DIV/0!</v>
      </c>
      <c r="J206" s="44" t="e">
        <f t="shared" si="59"/>
        <v>#DIV/0!</v>
      </c>
      <c r="K206" s="44" t="e">
        <f t="shared" si="59"/>
        <v>#DIV/0!</v>
      </c>
      <c r="L206" s="44">
        <f t="shared" si="59"/>
        <v>36.921270874142678</v>
      </c>
      <c r="M206" s="44" t="e">
        <f t="shared" si="59"/>
        <v>#DIV/0!</v>
      </c>
      <c r="N206" s="44" t="e">
        <f t="shared" si="59"/>
        <v>#DIV/0!</v>
      </c>
      <c r="O206" s="44" t="e">
        <f t="shared" si="59"/>
        <v>#DIV/0!</v>
      </c>
      <c r="P206" s="44" t="e">
        <f t="shared" si="59"/>
        <v>#DIV/0!</v>
      </c>
      <c r="Q206" s="44">
        <f t="shared" ref="Q206:W206" si="60">+Q199/Q205</f>
        <v>86.731930384629067</v>
      </c>
      <c r="R206" s="44"/>
      <c r="S206" s="44"/>
      <c r="T206" s="44"/>
      <c r="U206" s="44"/>
      <c r="V206" s="44">
        <f>+V199/V205</f>
        <v>33.518684602952234</v>
      </c>
      <c r="W206" s="44">
        <f t="shared" si="60"/>
        <v>24.336301850908182</v>
      </c>
      <c r="X206" s="2"/>
      <c r="Y206" s="2"/>
      <c r="Z206" s="2"/>
      <c r="AA206" s="44">
        <f>+AA199/AA205</f>
        <v>19.887111063660619</v>
      </c>
      <c r="AB206" s="2"/>
    </row>
    <row r="207" spans="3:28" x14ac:dyDescent="0.2">
      <c r="C207" s="1" t="s">
        <v>97</v>
      </c>
      <c r="E207" s="42">
        <f t="shared" ref="E207:P207" si="61">1/E206</f>
        <v>4.4849569851920727E-2</v>
      </c>
      <c r="F207" s="42">
        <f t="shared" si="61"/>
        <v>3.0615885854073242E-2</v>
      </c>
      <c r="G207" s="42">
        <f t="shared" si="61"/>
        <v>8.0954184981463957E-3</v>
      </c>
      <c r="H207" s="42" t="e">
        <f t="shared" si="61"/>
        <v>#DIV/0!</v>
      </c>
      <c r="I207" s="42" t="e">
        <f t="shared" si="61"/>
        <v>#DIV/0!</v>
      </c>
      <c r="J207" s="42" t="e">
        <f t="shared" si="61"/>
        <v>#DIV/0!</v>
      </c>
      <c r="K207" s="42" t="e">
        <f t="shared" si="61"/>
        <v>#DIV/0!</v>
      </c>
      <c r="L207" s="42">
        <f t="shared" si="61"/>
        <v>2.7084658147570342E-2</v>
      </c>
      <c r="M207" s="42" t="e">
        <f t="shared" si="61"/>
        <v>#DIV/0!</v>
      </c>
      <c r="N207" s="42" t="e">
        <f t="shared" si="61"/>
        <v>#DIV/0!</v>
      </c>
      <c r="O207" s="42" t="e">
        <f t="shared" si="61"/>
        <v>#DIV/0!</v>
      </c>
      <c r="P207" s="42" t="e">
        <f t="shared" si="61"/>
        <v>#DIV/0!</v>
      </c>
      <c r="Q207" s="42">
        <f>1/Q206</f>
        <v>1.1529779120161534E-2</v>
      </c>
      <c r="R207" s="42"/>
      <c r="S207" s="42"/>
      <c r="T207" s="42"/>
      <c r="U207" s="42"/>
      <c r="V207" s="42">
        <f t="shared" ref="V207:W207" si="62">1/V206</f>
        <v>2.9834106315494335E-2</v>
      </c>
      <c r="W207" s="42">
        <f t="shared" si="62"/>
        <v>4.1090877575660989E-2</v>
      </c>
      <c r="X207" s="2"/>
      <c r="Y207" s="2"/>
      <c r="Z207" s="2"/>
      <c r="AA207" s="42">
        <f t="shared" ref="AA207" si="63">1/AA206</f>
        <v>5.0283824372423958E-2</v>
      </c>
      <c r="AB207" s="2"/>
    </row>
    <row r="208" spans="3:28" x14ac:dyDescent="0.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3:28" x14ac:dyDescent="0.2">
      <c r="C209" s="1" t="s">
        <v>189</v>
      </c>
      <c r="E209" s="2">
        <f t="shared" ref="E209:Q209" si="64">+E173</f>
        <v>154027</v>
      </c>
      <c r="F209" s="2">
        <f t="shared" si="64"/>
        <v>185743</v>
      </c>
      <c r="G209" s="2">
        <f t="shared" si="64"/>
        <v>176041</v>
      </c>
      <c r="H209" s="2">
        <f t="shared" si="64"/>
        <v>0</v>
      </c>
      <c r="I209" s="2">
        <f t="shared" si="64"/>
        <v>0</v>
      </c>
      <c r="J209" s="2">
        <f t="shared" si="64"/>
        <v>0</v>
      </c>
      <c r="K209" s="2">
        <f t="shared" si="64"/>
        <v>0</v>
      </c>
      <c r="L209" s="2">
        <f t="shared" si="64"/>
        <v>302602</v>
      </c>
      <c r="M209" s="2">
        <f t="shared" si="64"/>
        <v>0</v>
      </c>
      <c r="N209" s="2">
        <f t="shared" si="64"/>
        <v>0</v>
      </c>
      <c r="O209" s="2">
        <f t="shared" si="64"/>
        <v>0</v>
      </c>
      <c r="P209" s="2">
        <f t="shared" si="64"/>
        <v>0</v>
      </c>
      <c r="Q209" s="2">
        <f>+Q173</f>
        <v>406424</v>
      </c>
      <c r="R209" s="2"/>
      <c r="S209" s="2"/>
      <c r="T209" s="2"/>
      <c r="U209" s="2"/>
      <c r="V209" s="2">
        <f>+V173</f>
        <v>572285</v>
      </c>
      <c r="W209" s="2">
        <f>+W173+U173+T173+S173</f>
        <v>480611</v>
      </c>
      <c r="X209" s="2"/>
      <c r="Y209" s="2"/>
      <c r="Z209" s="2"/>
      <c r="AA209" s="27">
        <f>+V209</f>
        <v>572285</v>
      </c>
      <c r="AB209" s="2"/>
    </row>
    <row r="210" spans="3:28" x14ac:dyDescent="0.2">
      <c r="C210" s="1" t="s">
        <v>187</v>
      </c>
      <c r="E210" s="44">
        <f t="shared" ref="E210:P210" si="65">+E197/E209</f>
        <v>29.67901575697767</v>
      </c>
      <c r="F210" s="44">
        <f t="shared" si="65"/>
        <v>37.550519319705181</v>
      </c>
      <c r="G210" s="44">
        <f t="shared" si="65"/>
        <v>58.021461818553632</v>
      </c>
      <c r="H210" s="44" t="e">
        <f t="shared" si="65"/>
        <v>#DIV/0!</v>
      </c>
      <c r="I210" s="44" t="e">
        <f t="shared" si="65"/>
        <v>#DIV/0!</v>
      </c>
      <c r="J210" s="44" t="e">
        <f t="shared" si="65"/>
        <v>#DIV/0!</v>
      </c>
      <c r="K210" s="44" t="e">
        <f t="shared" si="65"/>
        <v>#DIV/0!</v>
      </c>
      <c r="L210" s="44">
        <f t="shared" si="65"/>
        <v>51.699066166119195</v>
      </c>
      <c r="M210" s="44" t="e">
        <f t="shared" si="65"/>
        <v>#DIV/0!</v>
      </c>
      <c r="N210" s="44" t="e">
        <f t="shared" si="65"/>
        <v>#DIV/0!</v>
      </c>
      <c r="O210" s="44" t="e">
        <f t="shared" si="65"/>
        <v>#DIV/0!</v>
      </c>
      <c r="P210" s="44" t="e">
        <f t="shared" si="65"/>
        <v>#DIV/0!</v>
      </c>
      <c r="Q210" s="44">
        <f>+Q197/Q209</f>
        <v>75.373362793535804</v>
      </c>
      <c r="R210" s="2"/>
      <c r="S210" s="2"/>
      <c r="T210" s="2"/>
      <c r="U210" s="2"/>
      <c r="V210" s="44">
        <f>+V197/V209</f>
        <v>36.728545322697613</v>
      </c>
      <c r="W210" s="44">
        <f>+W197/W209</f>
        <v>27.455850864836634</v>
      </c>
      <c r="X210" s="2"/>
      <c r="Y210" s="2"/>
      <c r="Z210" s="2"/>
      <c r="AA210" s="44">
        <f>+AA197/AA209</f>
        <v>23.007553177175708</v>
      </c>
      <c r="AB210" s="2"/>
    </row>
    <row r="211" spans="3:28" x14ac:dyDescent="0.2">
      <c r="C211" s="1" t="s">
        <v>97</v>
      </c>
      <c r="E211" s="42">
        <f t="shared" ref="E211:P211" si="66">1/E210</f>
        <v>3.3693839721248016E-2</v>
      </c>
      <c r="F211" s="42">
        <f t="shared" si="66"/>
        <v>2.6630790149291903E-2</v>
      </c>
      <c r="G211" s="42">
        <f t="shared" si="66"/>
        <v>1.7235001819279019E-2</v>
      </c>
      <c r="H211" s="42" t="e">
        <f t="shared" si="66"/>
        <v>#DIV/0!</v>
      </c>
      <c r="I211" s="42" t="e">
        <f t="shared" si="66"/>
        <v>#DIV/0!</v>
      </c>
      <c r="J211" s="42" t="e">
        <f t="shared" si="66"/>
        <v>#DIV/0!</v>
      </c>
      <c r="K211" s="42" t="e">
        <f t="shared" si="66"/>
        <v>#DIV/0!</v>
      </c>
      <c r="L211" s="42">
        <f t="shared" si="66"/>
        <v>1.9342709146559917E-2</v>
      </c>
      <c r="M211" s="42" t="e">
        <f t="shared" si="66"/>
        <v>#DIV/0!</v>
      </c>
      <c r="N211" s="42" t="e">
        <f t="shared" si="66"/>
        <v>#DIV/0!</v>
      </c>
      <c r="O211" s="42" t="e">
        <f t="shared" si="66"/>
        <v>#DIV/0!</v>
      </c>
      <c r="P211" s="42" t="e">
        <f t="shared" si="66"/>
        <v>#DIV/0!</v>
      </c>
      <c r="Q211" s="42">
        <f>1/Q210</f>
        <v>1.3267286517907123E-2</v>
      </c>
      <c r="R211" s="42"/>
      <c r="S211" s="42"/>
      <c r="T211" s="42"/>
      <c r="U211" s="42"/>
      <c r="V211" s="42">
        <f t="shared" ref="V211:W211" si="67">1/V210</f>
        <v>2.7226779367763774E-2</v>
      </c>
      <c r="W211" s="42">
        <f t="shared" si="67"/>
        <v>3.6422109259076865E-2</v>
      </c>
      <c r="X211" s="2"/>
      <c r="Y211" s="2"/>
      <c r="Z211" s="2"/>
      <c r="AA211" s="42">
        <f t="shared" ref="AA211" si="68">1/AA210</f>
        <v>4.3463987339254953E-2</v>
      </c>
      <c r="AB211" s="2"/>
    </row>
    <row r="212" spans="3:28" x14ac:dyDescent="0.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3:28" x14ac:dyDescent="0.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3:28" x14ac:dyDescent="0.2">
      <c r="C214" s="35" t="s">
        <v>120</v>
      </c>
      <c r="D214" s="35"/>
      <c r="E214" s="45" t="s">
        <v>116</v>
      </c>
      <c r="F214" s="45" t="s">
        <v>117</v>
      </c>
      <c r="G214" s="2"/>
      <c r="H214" s="2"/>
      <c r="I214" s="2"/>
      <c r="J214" s="2"/>
      <c r="K214" s="2"/>
      <c r="L214" s="2"/>
      <c r="M214" s="2"/>
      <c r="N214" s="2"/>
      <c r="O214" s="2"/>
      <c r="P214" s="2"/>
      <c r="Q214" s="2"/>
      <c r="R214" s="2"/>
      <c r="S214" s="2"/>
      <c r="T214" s="2"/>
      <c r="U214" s="2"/>
      <c r="V214" s="2"/>
      <c r="W214" s="2"/>
      <c r="X214" s="2"/>
      <c r="Y214" s="2"/>
      <c r="Z214" s="2"/>
    </row>
    <row r="215" spans="3:28" x14ac:dyDescent="0.2">
      <c r="C215" s="1" t="s">
        <v>44</v>
      </c>
      <c r="E215" s="2">
        <v>4950000</v>
      </c>
      <c r="F215" s="2">
        <v>5000000</v>
      </c>
      <c r="G215" s="2"/>
      <c r="H215" s="2"/>
      <c r="I215" s="2"/>
      <c r="J215" s="2"/>
      <c r="K215" s="2"/>
      <c r="L215" s="2"/>
      <c r="M215" s="2"/>
      <c r="N215" s="2"/>
      <c r="O215" s="2"/>
      <c r="P215" s="2"/>
      <c r="Q215" s="2"/>
      <c r="R215" s="2"/>
      <c r="S215" s="2"/>
      <c r="T215" s="2"/>
      <c r="U215" s="2"/>
      <c r="V215" s="2"/>
      <c r="W215" s="2"/>
      <c r="X215" s="2"/>
      <c r="Y215" s="2"/>
      <c r="Z215" s="2"/>
    </row>
    <row r="216" spans="3:28" x14ac:dyDescent="0.2">
      <c r="C216" s="1" t="s">
        <v>118</v>
      </c>
      <c r="E216" s="9">
        <v>8.11</v>
      </c>
      <c r="F216" s="9">
        <v>8.31</v>
      </c>
      <c r="G216" s="2"/>
      <c r="H216" s="2"/>
      <c r="I216" s="2"/>
      <c r="J216" s="2"/>
      <c r="K216" s="2"/>
      <c r="L216" s="2"/>
      <c r="M216" s="2"/>
      <c r="N216" s="2"/>
      <c r="O216" s="2"/>
      <c r="P216" s="2"/>
      <c r="Q216" s="2"/>
      <c r="R216" s="2"/>
      <c r="S216" s="2"/>
      <c r="T216" s="2"/>
      <c r="U216" s="2"/>
      <c r="V216" s="2"/>
      <c r="W216" s="2"/>
      <c r="X216" s="2"/>
      <c r="Y216" s="2"/>
      <c r="Z216" s="2"/>
    </row>
    <row r="217" spans="3:28" x14ac:dyDescent="0.2">
      <c r="C217" s="3" t="s">
        <v>119</v>
      </c>
      <c r="D217" s="3"/>
      <c r="E217" s="58">
        <v>10.6</v>
      </c>
      <c r="F217" s="58">
        <v>10.8</v>
      </c>
      <c r="G217" s="2"/>
      <c r="H217" s="2"/>
      <c r="I217" s="2"/>
      <c r="J217" s="2"/>
      <c r="K217" s="2"/>
      <c r="L217" s="2"/>
      <c r="M217" s="2"/>
      <c r="N217" s="2"/>
      <c r="O217" s="2"/>
      <c r="P217" s="2"/>
      <c r="Q217" s="2"/>
      <c r="R217" s="2"/>
      <c r="S217" s="2"/>
      <c r="T217" s="2"/>
      <c r="U217" s="2"/>
      <c r="V217" s="2"/>
      <c r="W217" s="2"/>
      <c r="X217" s="2"/>
      <c r="Y217" s="2"/>
      <c r="Z217" s="2"/>
    </row>
    <row r="218" spans="3:28" x14ac:dyDescent="0.2">
      <c r="E218" s="2"/>
      <c r="F218" s="2"/>
    </row>
    <row r="219" spans="3:28" x14ac:dyDescent="0.2">
      <c r="C219" s="35" t="s">
        <v>121</v>
      </c>
      <c r="D219" s="35"/>
      <c r="E219" s="45" t="s">
        <v>122</v>
      </c>
      <c r="F219" s="45" t="s">
        <v>123</v>
      </c>
      <c r="AA219" s="2"/>
    </row>
    <row r="220" spans="3:28" x14ac:dyDescent="0.2">
      <c r="C220" s="1" t="s">
        <v>44</v>
      </c>
      <c r="E220" s="2">
        <v>1195000</v>
      </c>
      <c r="F220" s="2">
        <v>1205000</v>
      </c>
    </row>
    <row r="221" spans="3:28" x14ac:dyDescent="0.2">
      <c r="C221" s="1" t="s">
        <v>118</v>
      </c>
      <c r="E221" s="9">
        <v>1.82</v>
      </c>
      <c r="F221" s="9">
        <v>1.9</v>
      </c>
    </row>
    <row r="222" spans="3:28" x14ac:dyDescent="0.2">
      <c r="C222" s="3" t="s">
        <v>119</v>
      </c>
      <c r="D222" s="3"/>
      <c r="E222" s="58">
        <v>2.38</v>
      </c>
      <c r="F222" s="58">
        <v>2.46</v>
      </c>
    </row>
  </sheetData>
  <pageMargins left="0.7" right="0.7" top="0.75" bottom="0.75" header="0.3" footer="0.3"/>
  <pageSetup paperSize="9" orientation="portrait" r:id="rId1"/>
  <ignoredErrors>
    <ignoredError sqref="E94:O94 Q94 V94 F6:U6 E6 V6 V68:W68 Q68 L68 E68:G68 R68:U68" formulaRange="1"/>
    <ignoredError sqref="V135 Q190:V190 AA197 U15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 Assumptions</vt:lpstr>
      <vt:lpstr>Financial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2023-05-15T19:49:22Z</cp:lastPrinted>
  <dcterms:created xsi:type="dcterms:W3CDTF">2022-02-15T14:07:47Z</dcterms:created>
  <dcterms:modified xsi:type="dcterms:W3CDTF">2023-06-15T08:16:12Z</dcterms:modified>
</cp:coreProperties>
</file>